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documenttasks+xml" PartName="/xl/documenttasks/documenttask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Cover &amp; Decision" sheetId="2" r:id="rId6"/>
    <sheet state="visible" name="Project Intake" sheetId="3" r:id="rId7"/>
    <sheet state="visible" name="Hard Gates" sheetId="4" r:id="rId8"/>
    <sheet state="visible" name="Cost Ledger" sheetId="5" r:id="rId9"/>
    <sheet state="visible" name="Fiscal Inputs" sheetId="6" r:id="rId10"/>
    <sheet state="visible" name="20Y Model" sheetId="7" r:id="rId11"/>
    <sheet state="visible" name="Power &amp; Water" sheetId="8" r:id="rId12"/>
    <sheet state="visible" name="Scenarios" sheetId="9" r:id="rId13"/>
    <sheet state="visible" name="Contract Register" sheetId="10" r:id="rId14"/>
    <sheet state="visible" name="Annual Dashboard" sheetId="11" r:id="rId15"/>
    <sheet state="visible" name="Checks" sheetId="12" r:id="rId16"/>
    <sheet state="visible" name="Sources" sheetId="13" r:id="rId1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tc={48da6304-4ed5-42de-91c9-cfecf45696f3}</author>
  </authors>
  <commentList>
    <comment authorId="0" ref="A5">
      <text>
        <t xml:space="preserve">[Threaded comment]
Your version of Excel allows you to read this threaded comment; however, any edits to it will get removed if the file is opened in a newer version of Excel. Learn more: https://go.microsoft.com/fwlink/?linkid=870924
Comment:
    Illustrative template assumption only. The public entity should select and document a jurisdiction-appropriate discount rate.</t>
      </text>
    </comment>
    <comment authorId="1" xr:uid="{48da6304-4ed5-42de-91c9-cfecf45696f3}" ref="A5">
      <text>
        <t xml:space="preserve">[Threaded comment]
 Your version of Excel allows you to read this threaded comment; however, any edits to it will get removed if the file is opened in a newer version of Excel. Learn more: https://go.microsoft.com/fwlink/?linkid=870924
Comment:
	Illustrative template assumption only. The public entity should select and document a jurisdiction-appropriate discount rate.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tc={6b10fdce-0d73-4e95-8ccc-6aae344251e2}</author>
    <author>tc={cf8f630a-4100-415c-a242-53fd1227c1dc}</author>
    <author>tc={d3a9db07-1d97-4762-a335-18d3df35a598}</author>
  </authors>
  <commentList>
    <comment authorId="0" ref="B6">
      <text>
        <t xml:space="preserve">[Threaded comment]
Your version of Excel allows you to read this threaded comment; however, any edits to it will get removed if the file is opened in a newer version of Excel. Learn more: https://go.microsoft.com/fwlink/?linkid=870924
Comment:
    Source S04: AEP Ohio tariff benchmark. Other utilities and projects may require different minimum billing.</t>
      </text>
    </comment>
    <comment authorId="0" ref="B5">
      <text>
        <t xml:space="preserve">[Threaded comment]
Your version of Excel allows you to read this threaded comment; however, any edits to it will get removed if the file is opened in a newer version of Excel. Learn more: https://go.microsoft.com/fwlink/?linkid=870924
Comment:
    Source S01: LBNL modelled US-average site WUE just over 0.36 L/kWh through 2023. Not a facility forecast.</t>
      </text>
    </comment>
    <comment authorId="0" ref="B4">
      <text>
        <t xml:space="preserve">[Threaded comment]
Your version of Excel allows you to read this threaded comment; however, any edits to it will get removed if the file is opened in a newer version of Excel. Learn more: https://go.microsoft.com/fwlink/?linkid=870924
Comment:
    Illustrative load-factor sensitivity chosen for scale calculations. Replace with facility-specific hourly load evidence.</t>
      </text>
    </comment>
    <comment authorId="1" xr:uid="{6b10fdce-0d73-4e95-8ccc-6aae344251e2}" ref="B4">
      <text>
        <t xml:space="preserve">[Threaded comment]
 Your version of Excel allows you to read this threaded comment; however, any edits to it will get removed if the file is opened in a newer version of Excel. Learn more: https://go.microsoft.com/fwlink/?linkid=870924
Comment:
	Illustrative load-factor sensitivity chosen for scale calculations. Replace with facility-specific hourly load evidence.
</t>
      </text>
    </comment>
    <comment authorId="2" xr:uid="{cf8f630a-4100-415c-a242-53fd1227c1dc}" ref="B5">
      <text>
        <t xml:space="preserve">[Threaded comment]
 Your version of Excel allows you to read this threaded comment; however, any edits to it will get removed if the file is opened in a newer version of Excel. Learn more: https://go.microsoft.com/fwlink/?linkid=870924
Comment:
	Source S01: LBNL modelled US-average site WUE just over 0.36 L/kWh through 2023. Not a facility forecast.
</t>
      </text>
    </comment>
    <comment authorId="3" xr:uid="{d3a9db07-1d97-4762-a335-18d3df35a598}" ref="B6">
      <text>
        <t xml:space="preserve">[Threaded comment]
 Your version of Excel allows you to read this threaded comment; however, any edits to it will get removed if the file is opened in a newer version of Excel. Learn more: https://go.microsoft.com/fwlink/?linkid=870924
Comment:
	Source S04: AEP Ohio tariff benchmark. Other utilities and projects may require different minimum billing.
</t>
      </text>
    </comment>
  </commentList>
</comments>
</file>

<file path=xl/sharedStrings.xml><?xml version="1.0" encoding="utf-8"?>
<sst xmlns="http://schemas.openxmlformats.org/spreadsheetml/2006/main" count="1181" uniqueCount="777">
  <si>
    <t>Host Community Decision Model</t>
  </si>
  <si>
    <t>Project Intake &amp; Mandatory Disclosure</t>
  </si>
  <si>
    <t>Seven Hard-Gate Approval Test</t>
  </si>
  <si>
    <t>START HERE — Community Quick Guide</t>
  </si>
  <si>
    <t>No weighted score: one Fail or Unknown requires rejection or deferral until cured with evidence.</t>
  </si>
  <si>
    <t>Use this workbook to assess one proposed data-centre project. Begin with evidence, leave unknowns visible, and stop if a hard gate cannot be resolved.</t>
  </si>
  <si>
    <t/>
  </si>
  <si>
    <t>Stage 12 | United States large data-centre community impact research | Version 1.0 | 2026-07-25</t>
  </si>
  <si>
    <t>Applicant inputs must be supported by documents. “Not provided” is not neutral where a hard gate depends on the evidence.</t>
  </si>
  <si>
    <t>Overall gate result</t>
  </si>
  <si>
    <t>BEFORE YOU BEGIN</t>
  </si>
  <si>
    <t>Make a fresh working copy for each proposed project.</t>
  </si>
  <si>
    <t>Input convention: yellow/blue cells are editable; green text is linked from another sheet</t>
  </si>
  <si>
    <t>Decision engine</t>
  </si>
  <si>
    <t>Name a community coordinator to keep the workbook and evidence register current.</t>
  </si>
  <si>
    <t>Gather available planning, ownership, utility, water, tax, incentive and infrastructure documents.</t>
  </si>
  <si>
    <t>Record a source and date for every material figure or answer. UNKNOWN is a valid and important answer.</t>
  </si>
  <si>
    <t>Hard-gate result</t>
  </si>
  <si>
    <t>YOUR FIRST 60-MINUTE MEETING</t>
  </si>
  <si>
    <t>Field</t>
  </si>
  <si>
    <t>Step</t>
  </si>
  <si>
    <t>Applicant input</t>
  </si>
  <si>
    <t>Required evidence</t>
  </si>
  <si>
    <t>Action</t>
  </si>
  <si>
    <t>Workbook tab</t>
  </si>
  <si>
    <t>Disclosure status</t>
  </si>
  <si>
    <t>Output</t>
  </si>
  <si>
    <t>Source / document ID</t>
  </si>
  <si>
    <t>1</t>
  </si>
  <si>
    <t>Project name</t>
  </si>
  <si>
    <t>Name the project, location, applicant, technology tenant and approval stage.</t>
  </si>
  <si>
    <t>Project Intake</t>
  </si>
  <si>
    <t>Project record</t>
  </si>
  <si>
    <t>2</t>
  </si>
  <si>
    <t>Record what has been supplied. Mark unsupported information UNKNOWN.</t>
  </si>
  <si>
    <t>Legal project name and application number</t>
  </si>
  <si>
    <t>Missing-document list</t>
  </si>
  <si>
    <t>Pass</t>
  </si>
  <si>
    <t>3</t>
  </si>
  <si>
    <t>Conditional</t>
  </si>
  <si>
    <t>Review the seven tests that can stop or delay a decision.</t>
  </si>
  <si>
    <t>Fail</t>
  </si>
  <si>
    <t>Hard Gates</t>
  </si>
  <si>
    <t>Unknown</t>
  </si>
  <si>
    <t>Pass / Conditional / Fail / Unknown</t>
  </si>
  <si>
    <t>4</t>
  </si>
  <si>
    <t>Model readiness</t>
  </si>
  <si>
    <t>Not provided</t>
  </si>
  <si>
    <t>Site / address / parcel IDs</t>
  </si>
  <si>
    <t>Trace who first pays, who repays and who carries the final infrastructure risk.</t>
  </si>
  <si>
    <t>Cost Ledger + Power &amp; Water</t>
  </si>
  <si>
    <t>Cost and risk owners</t>
  </si>
  <si>
    <t>Survey, parcel map and acreage</t>
  </si>
  <si>
    <t>5</t>
  </si>
  <si>
    <t>Enter supported public revenues, subsidies, infrastructure and service costs.</t>
  </si>
  <si>
    <t>Fiscal Inputs</t>
  </si>
  <si>
    <t>20-year model inputs</t>
  </si>
  <si>
    <t>6</t>
  </si>
  <si>
    <t>Test slower construction, lower use, closure and other credible downside cases.</t>
  </si>
  <si>
    <t>Applicant / developer legal entity</t>
  </si>
  <si>
    <t>Scenarios</t>
  </si>
  <si>
    <t>Downside result</t>
  </si>
  <si>
    <t>20-year NPV — local government</t>
  </si>
  <si>
    <t>7</t>
  </si>
  <si>
    <t>Formation documents and good-standing certificate</t>
  </si>
  <si>
    <t>Record every promised benefit, responsible party, deadline, remedy and security.</t>
  </si>
  <si>
    <t>Contract Register</t>
  </si>
  <si>
    <t>Enforceable obligations</t>
  </si>
  <si>
    <t>8</t>
  </si>
  <si>
    <t>Review readiness only after the checks are complete.</t>
  </si>
  <si>
    <t>Landowner</t>
  </si>
  <si>
    <t>Cover &amp; Decision + Checks</t>
  </si>
  <si>
    <t>Gate</t>
  </si>
  <si>
    <t>Seek / Conditional / Defer / Reject</t>
  </si>
  <si>
    <t>Approval question</t>
  </si>
  <si>
    <t>Deed or binding site-control instrument</t>
  </si>
  <si>
    <t>Minimum evidence</t>
  </si>
  <si>
    <t>Status</t>
  </si>
  <si>
    <t>EVIDENCE LABELS</t>
  </si>
  <si>
    <t>Conditions / reason</t>
  </si>
  <si>
    <t>Independent verification</t>
  </si>
  <si>
    <t>Property owner after completion</t>
  </si>
  <si>
    <t>Required agreement hook</t>
  </si>
  <si>
    <t>Label</t>
  </si>
  <si>
    <t>Meaning</t>
  </si>
  <si>
    <t>1. Ownership &amp; accountability</t>
  </si>
  <si>
    <t>20-year NPV — public sector incl. utility/ratepayer</t>
  </si>
  <si>
    <t>Ownership diagram and transfer plan</t>
  </si>
  <si>
    <t>How to use it</t>
  </si>
  <si>
    <t>Can the community identify every material owner, operator, tenant and beneficiary—and enforce obligations against a creditworthy counterparty?</t>
  </si>
  <si>
    <t>Beneficial-ownership certificate; organization chart; leases/operating agreements; audited guarantor financials; successor liability.</t>
  </si>
  <si>
    <t>FACT</t>
  </si>
  <si>
    <t>Independently supported by reliable evidence.</t>
  </si>
  <si>
    <t>May support a decision if current and project-specific.</t>
  </si>
  <si>
    <t>Data-centre asset owner</t>
  </si>
  <si>
    <t>ESTIMATE</t>
  </si>
  <si>
    <t>Calculated or extrapolated using stated assumptions.</t>
  </si>
  <si>
    <t>Ownership diagram and financial statements</t>
  </si>
  <si>
    <t>Show the assumptions and test a weaker case.</t>
  </si>
  <si>
    <t>CLAIM</t>
  </si>
  <si>
    <t>Counsel and financial adviser</t>
  </si>
  <si>
    <t>An assertion by an interested party.</t>
  </si>
  <si>
    <t>Do not rely on it until independently verified.</t>
  </si>
  <si>
    <t>Joint-and-several liability; parent guarantee; change-of-control consent; covenants run with land where lawful.</t>
  </si>
  <si>
    <t>Unsecured/public-risk commitments</t>
  </si>
  <si>
    <t>Data-centre operator</t>
  </si>
  <si>
    <t>UNKNOWN</t>
  </si>
  <si>
    <t>2. Fiscal additionality &amp; proportionality</t>
  </si>
  <si>
    <t>There is not enough reliable evidence.</t>
  </si>
  <si>
    <t>Request evidence. Defer if it affects a hard gate.</t>
  </si>
  <si>
    <t>After subsidies, infrastructure, services and opportunity cost, is the 20-year public fiscal result non-negative under a credible downside?</t>
  </si>
  <si>
    <t>Tax-base schedule; incentives; public costs; but-for analysis; alternate-use baseline; base/downside model.</t>
  </si>
  <si>
    <t>Independent fiscal analyst</t>
  </si>
  <si>
    <t>WHO COMPLETES WHICH TABS</t>
  </si>
  <si>
    <t>Operating agreement or executed commitment</t>
  </si>
  <si>
    <t>Minimum payments; clawbacks; audit rights; no double counting; automatic reconciliation.</t>
  </si>
  <si>
    <t>3. Electricity cost allocation &amp; reliability</t>
  </si>
  <si>
    <t>Are all customer-caused generation, transmission, distribution, interconnection, reserve and stranded-asset risks assigned and secured without unjustified cost shifting?</t>
  </si>
  <si>
    <t>Role</t>
  </si>
  <si>
    <t>Utility studies; tariff/ESA; cost-of-service evidence; ramp; minimum bill; term; exit fee; collateral; emergency curtailment.</t>
  </si>
  <si>
    <t>Main tabs</t>
  </si>
  <si>
    <t>Recommended posture</t>
  </si>
  <si>
    <t>Technology tenant(s)</t>
  </si>
  <si>
    <t>Purpose</t>
  </si>
  <si>
    <t>Community coordinator</t>
  </si>
  <si>
    <t>Utility, PUC and system operator</t>
  </si>
  <si>
    <t>START HERE; Project Intake; Sources</t>
  </si>
  <si>
    <t>Maintain the project record and evidence register.</t>
  </si>
  <si>
    <t>Beneficiary-pays schedule; take-or-pay; security; cancellation reimbursement; emergency priority.</t>
  </si>
  <si>
    <t>Finance or economic reviewer</t>
  </si>
  <si>
    <t>4. Water, wastewater &amp; drought resilience</t>
  </si>
  <si>
    <t>Cost Ledger; Fiscal Inputs; 20Y Model; Scenarios</t>
  </si>
  <si>
    <t>Executed lease/commitment or disclosure of vacancy risk</t>
  </si>
  <si>
    <t>Test the public financial bargain and downside.</t>
  </si>
  <si>
    <t>Is facility-specific water use compatible with source capacity, drought conditions and wastewater limits without impairing existing users or alternatives?</t>
  </si>
  <si>
    <t>Electricity and water reviewers</t>
  </si>
  <si>
    <t>Source-specific capacity study; seasonal and peak use; cooling modes; reuse; drought plan; wastewater authorization.</t>
  </si>
  <si>
    <t>Power &amp; Water</t>
  </si>
  <si>
    <t>Test capacity, upgrades, cost recovery and long-term risk.</t>
  </si>
  <si>
    <t>Server / computing-equipment owner</t>
  </si>
  <si>
    <t>Legal and planning reviewers</t>
  </si>
  <si>
    <t>Water and wastewater authorities</t>
  </si>
  <si>
    <t>Hard Gates; Contract Register</t>
  </si>
  <si>
    <t>Equipment ownership and refresh plan</t>
  </si>
  <si>
    <t>Volume caps; metering; drought curtailment; reuse milestones; exceedance remedies.</t>
  </si>
  <si>
    <t>Test authority, enforceability, remedies and security.</t>
  </si>
  <si>
    <t>5. Land use, health &amp; public-service compatibility</t>
  </si>
  <si>
    <t>Community review group</t>
  </si>
  <si>
    <t>Are siting, noise, air, light, traffic, fire, hazardous materials and e-waste impacts compatible and fully mitigated?</t>
  </si>
  <si>
    <t>Cover &amp; Decision; Annual Dashboard; Checks</t>
  </si>
  <si>
    <t>Review the decision and monitor actual performance.</t>
  </si>
  <si>
    <t>Debt provider(s)</t>
  </si>
  <si>
    <t>Site alternatives; environmental review; noise model; air permits; fire/EMS plan; traffic and decommissioning plans.</t>
  </si>
  <si>
    <t>Financing commitment and security hierarchy</t>
  </si>
  <si>
    <t>Planning, environmental, fire and public-health staff</t>
  </si>
  <si>
    <t>IMPORTANT RULES</t>
  </si>
  <si>
    <t>Operational limits; monitoring; permit revocation/cure; complaint and emergency response.</t>
  </si>
  <si>
    <t>6. Durable local value capture</t>
  </si>
  <si>
    <t>Equity investor(s)</t>
  </si>
  <si>
    <t>Are taxes, payments, jobs, wages, procurement and community investments binding, measurable, additional and retained locally?</t>
  </si>
  <si>
    <t>Year-by-year commitments; employer and geography definitions; payroll/procurement evidence; fund governance.</t>
  </si>
  <si>
    <t>Do not overwrite formulas. Enter information only in designated input cells.</t>
  </si>
  <si>
    <t>Investor and control rights disclosure</t>
  </si>
  <si>
    <t>Fiscal, labor and procurement reviewers</t>
  </si>
  <si>
    <t>Do not convert missing evidence into a favourable assumption. Keep it marked UNKNOWN.</t>
  </si>
  <si>
    <t>Minimum commitments; liquidated damages; local-benefit fund; reporting and third-party audit.</t>
  </si>
  <si>
    <t>Ultimate beneficial owner(s)</t>
  </si>
  <si>
    <t>7. Enforceability &amp; lifecycle security</t>
  </si>
  <si>
    <t>Will obligations survive delay, tenant turnover, affiliate transfers, default, closure and decommissioning?</t>
  </si>
  <si>
    <t>A failed or unknown hard gate cannot be averaged away by claimed investment, jobs or economic output.</t>
  </si>
  <si>
    <t>Executed agreements; guarantees; letters of credit/bonds; clawbacks; audit access; closure cost estimate; successor terms.</t>
  </si>
  <si>
    <t>Beneficial ownership certification</t>
  </si>
  <si>
    <t>This workbook supports public decision-making. It does not replace legal, engineering, utility, water, tax or accounting advice.</t>
  </si>
  <si>
    <t>Counsel, engineer and financial adviser</t>
  </si>
  <si>
    <t>Parent guarantor / enforcement counterparty</t>
  </si>
  <si>
    <t>Security replenishment; step-in rights; decommissioning; transfer restrictions; continuing liability.</t>
  </si>
  <si>
    <t>Executed guarantee and audited financial capacity</t>
  </si>
  <si>
    <t>Required sequence</t>
  </si>
  <si>
    <t>Decision rule: Pass means independently verified and contractually secured. Conditional means a specifically identified cure must be completed before final approval or energization. Fail means the project is unacceptable on the evidence. Unknown means the evidence is insufficient and therefore requires deferral.</t>
  </si>
  <si>
    <t>Change-of-control / affiliate structure</t>
  </si>
  <si>
    <t>Current organization chart and successor obligations</t>
  </si>
  <si>
    <t>Contracted electrical capacity (MW)</t>
  </si>
  <si>
    <t>Complete Project Intake and obtain applicant evidence.</t>
  </si>
  <si>
    <t>Utility study, service agreement and ramp schedule</t>
  </si>
  <si>
    <t>Map every public and private infrastructure cost in Cost Ledger.</t>
  </si>
  <si>
    <t>IT load at full operation (MW)</t>
  </si>
  <si>
    <t>Stamped electrical design and PUE assumptions</t>
  </si>
  <si>
    <t>Electricity, Water &amp; Stranded-Cost Allocation Ledger</t>
  </si>
  <si>
    <t>Enter fiscal assumptions and evidence classifications; use zero only when supported.</t>
  </si>
  <si>
    <t>Load factor at full operation</t>
  </si>
  <si>
    <t>Hourly load profile and sensitivity range</t>
  </si>
  <si>
    <t>Record who owns each asset, who pays first, who repays, who guarantees payment and who bears residual risk.</t>
  </si>
  <si>
    <t>Load ramp: Year 1 / 2 / 3 / 4</t>
  </si>
  <si>
    <t>Run the seven Hard Gates. A Fail or Unknown cannot be averaged away.</t>
  </si>
  <si>
    <t>Contractual minimum ramp and delay remedies</t>
  </si>
  <si>
    <t>Known public-risk exposure ($)</t>
  </si>
  <si>
    <t>Target energization date</t>
  </si>
  <si>
    <t>Negotiate and execute the Contract Register, guarantees and security.</t>
  </si>
  <si>
    <t>Utility milestone schedule</t>
  </si>
  <si>
    <t>Expected operating life (years)</t>
  </si>
  <si>
    <t>Business plan and technology refresh assumptions</t>
  </si>
  <si>
    <t>Set annual targets and evidence in Annual Dashboard before occupancy.</t>
  </si>
  <si>
    <t>Buildings / floor area</t>
  </si>
  <si>
    <t>Site plan and phased buildout schedule</t>
  </si>
  <si>
    <t>Approve only after Checks reports READY FOR DECISION.</t>
  </si>
  <si>
    <t>Backup generation / fuel / annual testing</t>
  </si>
  <si>
    <t>Air permits, fuel storage and operating limits</t>
  </si>
  <si>
    <t>Unknown risk-holder lines</t>
  </si>
  <si>
    <t>Cooling system</t>
  </si>
  <si>
    <t>Design basis, PUE/WUE and seasonal mode</t>
  </si>
  <si>
    <t>Interpretation</t>
  </si>
  <si>
    <t>Potable water source</t>
  </si>
  <si>
    <t>Utility commitment and source-specific capacity study</t>
  </si>
  <si>
    <t>Annual potable-water demand (gal)</t>
  </si>
  <si>
    <t>Facility-specific engineering estimate</t>
  </si>
  <si>
    <t>Calculated or extrapolated; assumptions and uncertainty must be stated.</t>
  </si>
  <si>
    <t>Peak-day potable-water demand (gal/day)</t>
  </si>
  <si>
    <t>Seasonal/drought engineering estimate</t>
  </si>
  <si>
    <t>Assertion by an interested party; not accepted without verification.</t>
  </si>
  <si>
    <t>Reclaimed-water share</t>
  </si>
  <si>
    <t>ID</t>
  </si>
  <si>
    <t>Executed supply plan and fallback source</t>
  </si>
  <si>
    <t>Asset / cost</t>
  </si>
  <si>
    <t>Phase</t>
  </si>
  <si>
    <t>Asset owner</t>
  </si>
  <si>
    <t>First payer</t>
  </si>
  <si>
    <t>Wastewater discharge (gal/day)</t>
  </si>
  <si>
    <t>Amount ($)</t>
  </si>
  <si>
    <t>Repayment / recovery mechanism</t>
  </si>
  <si>
    <t>Insufficient evidence. For a hard gate, this requires deferral.</t>
  </si>
  <si>
    <t>Final risk holder</t>
  </si>
  <si>
    <t>Authority capacity letter and pretreatment plan</t>
  </si>
  <si>
    <t>Security held</t>
  </si>
  <si>
    <t>Recovery status</t>
  </si>
  <si>
    <t>Source ID</t>
  </si>
  <si>
    <t>Drought / emergency curtailment plan</t>
  </si>
  <si>
    <t>Notes / assumptions</t>
  </si>
  <si>
    <t>PWR-01</t>
  </si>
  <si>
    <t>Binding triggers, priorities and backup cooling</t>
  </si>
  <si>
    <t>Load and interconnection studies</t>
  </si>
  <si>
    <t>Pre-approval</t>
  </si>
  <si>
    <t>Local tax forecast</t>
  </si>
  <si>
    <t>This is a decision-support template, not legal, engineering, utility-rate or tax advice. Local counsel, the relevant utility/regulator, water authority and fiscal officers must adapt and verify it for each project.</t>
  </si>
  <si>
    <t>Tax-base schedule by levy, asset class and year</t>
  </si>
  <si>
    <t>State tax forecast</t>
  </si>
  <si>
    <t>Tax schedule by tax type and year</t>
  </si>
  <si>
    <t>Tax exemptions / abatements / grants requested</t>
  </si>
  <si>
    <t>PWR-02</t>
  </si>
  <si>
    <t>Full subsidy schedule, legal authority and term</t>
  </si>
  <si>
    <t>Dedicated interconnection facilities</t>
  </si>
  <si>
    <t>Construction</t>
  </si>
  <si>
    <t>Public infrastructure requested</t>
  </si>
  <si>
    <t>Asset, owner, cost, payer and repayment schedule</t>
  </si>
  <si>
    <t>Permanent operating jobs</t>
  </si>
  <si>
    <t>Job titles, FTE definition, employer and ramp</t>
  </si>
  <si>
    <t>PWR-03</t>
  </si>
  <si>
    <t>Distribution/substation upgrades</t>
  </si>
  <si>
    <t>Median wage and benefits</t>
  </si>
  <si>
    <t>Payroll commitment and verification protocol</t>
  </si>
  <si>
    <t>Local-resident hiring commitment</t>
  </si>
  <si>
    <t>Defined geography, eligibility and reporting</t>
  </si>
  <si>
    <t>Local procurement commitment</t>
  </si>
  <si>
    <t>PWR-04</t>
  </si>
  <si>
    <t>Network transmission upgrades</t>
  </si>
  <si>
    <t>Value-added definition; exclude pass-through spend</t>
  </si>
  <si>
    <t>Community fund / direct investment</t>
  </si>
  <si>
    <t>Amount, timing, governance and permitted uses</t>
  </si>
  <si>
    <t>Decommissioning plan and security</t>
  </si>
  <si>
    <t>Engineer cost estimate, financial assurance and triggers</t>
  </si>
  <si>
    <t>PWR-05</t>
  </si>
  <si>
    <t>Incremental generation/resource adequacy</t>
  </si>
  <si>
    <t>Construction/operation</t>
  </si>
  <si>
    <t>Existing land use and opportunity cost</t>
  </si>
  <si>
    <t>Alternative-use and foregone-revenue analysis</t>
  </si>
  <si>
    <t>Alternative sites / systems considered</t>
  </si>
  <si>
    <t>Site, cooling, energy and infrastructure alternatives</t>
  </si>
  <si>
    <t>PWR-06</t>
  </si>
  <si>
    <t>Operating reserves and balancing</t>
  </si>
  <si>
    <t>Operation</t>
  </si>
  <si>
    <t>PWR-07</t>
  </si>
  <si>
    <t>Clean generation/storage dedicated to load</t>
  </si>
  <si>
    <t>20-Year Fiscal &amp; Infrastructure Inputs</t>
  </si>
  <si>
    <t>Enter positive dollar amounts; the Direction column applies the sign. Zero means independently confirmed none—not missing data.</t>
  </si>
  <si>
    <t>WTR-01</t>
  </si>
  <si>
    <t>Raw/potable water supply capacity</t>
  </si>
  <si>
    <t>Discount rate</t>
  </si>
  <si>
    <t>Model start year</t>
  </si>
  <si>
    <t>5.0% illustrative</t>
  </si>
  <si>
    <t>Use nominal dollars consistently. If a line is not applicable, enter 0 and cite the evidence. Keep local, state, utility/ratepayer and non-fiscal local value separate.</t>
  </si>
  <si>
    <t>WTR-02</t>
  </si>
  <si>
    <t>Reclaimed-water supply and treatment</t>
  </si>
  <si>
    <t>2027 illustrative</t>
  </si>
  <si>
    <t>Line item</t>
  </si>
  <si>
    <t>WTR-03</t>
  </si>
  <si>
    <t>Account / beneficiary</t>
  </si>
  <si>
    <t>Wastewater conveyance/treatment</t>
  </si>
  <si>
    <t>Direction</t>
  </si>
  <si>
    <t>Required?</t>
  </si>
  <si>
    <t>Year 0 ($)</t>
  </si>
  <si>
    <t>Year 1 ($)</t>
  </si>
  <si>
    <t>Annual growth</t>
  </si>
  <si>
    <t>Evidence class</t>
  </si>
  <si>
    <t>Notes / definition</t>
  </si>
  <si>
    <t>Local taxes and statutory fees collected</t>
  </si>
  <si>
    <t>Local government</t>
  </si>
  <si>
    <t>Yes</t>
  </si>
  <si>
    <t>CIV-01</t>
  </si>
  <si>
    <t>Road, intersection and traffic works</t>
  </si>
  <si>
    <t>Property, sales/use, utility, franchise and other taxes actually retained locally.</t>
  </si>
  <si>
    <t>PILOT / development-agreement payments</t>
  </si>
  <si>
    <t>CIV-02</t>
  </si>
  <si>
    <t>Contracted cash payments to the local government.</t>
  </si>
  <si>
    <t>Stormwater/flood mitigation</t>
  </si>
  <si>
    <t>Local grants / cash incentives</t>
  </si>
  <si>
    <t>Direct grants, reimbursements or public financing.</t>
  </si>
  <si>
    <t>Local tax abatements / exemptions</t>
  </si>
  <si>
    <t>PUB-01</t>
  </si>
  <si>
    <t>Fire/EMS equipment and staffing</t>
  </si>
  <si>
    <t>Foregone revenue measured against the lawful counterfactual.</t>
  </si>
  <si>
    <t>Local infrastructure capital cost</t>
  </si>
  <si>
    <t>PUB-02</t>
  </si>
  <si>
    <t>Road, water, wastewater, fire or other local capital attributable to the project.</t>
  </si>
  <si>
    <t>Planning, inspection and compliance staff</t>
  </si>
  <si>
    <t>Applicant reimbursement to local government</t>
  </si>
  <si>
    <t>Pre-approval/operation</t>
  </si>
  <si>
    <t>Cash reimbursements; do not count a refundable security deposit as revenue.</t>
  </si>
  <si>
    <t>Incremental local services / monitoring</t>
  </si>
  <si>
    <t>ENV-01</t>
  </si>
  <si>
    <t>Noise, air, light and habitat mitigation</t>
  </si>
  <si>
    <t>Planning, inspection, fire/EMS, environmental monitoring and administration.</t>
  </si>
  <si>
    <t>State taxes and statutory fees collected</t>
  </si>
  <si>
    <t>State government</t>
  </si>
  <si>
    <t>TEL-01</t>
  </si>
  <si>
    <t>Fiber/broadband works</t>
  </si>
  <si>
    <t>State revenue attributable to the project.</t>
  </si>
  <si>
    <t>State grants / cash incentives</t>
  </si>
  <si>
    <t>COM-01</t>
  </si>
  <si>
    <t>20-Year Public Fiscal &amp; Infrastructure Model</t>
  </si>
  <si>
    <t>Community investment fund</t>
  </si>
  <si>
    <t>Direct grants and financing support.</t>
  </si>
  <si>
    <t>State tax exemptions / credits</t>
  </si>
  <si>
    <t>Formula-driven projection. Public fiscal cash, utility/ratepayer effects and non-fiscal local value remain separate.</t>
  </si>
  <si>
    <t>Foregone state revenue; record gross cost and but-for analysis separately.</t>
  </si>
  <si>
    <t>State infrastructure / administration</t>
  </si>
  <si>
    <t>DEC-01</t>
  </si>
  <si>
    <t>Decommissioning and e-waste</t>
  </si>
  <si>
    <t>State-attributable infrastructure and program administration.</t>
  </si>
  <si>
    <t>Closure</t>
  </si>
  <si>
    <t>Customer contribution in aid of construction</t>
  </si>
  <si>
    <t>Utility/ratepayer</t>
  </si>
  <si>
    <t>Upfront contribution dedicated to customer-caused infrastructure.</t>
  </si>
  <si>
    <t>Customer charges dedicated to incremental-cost recovery</t>
  </si>
  <si>
    <t>STR-01</t>
  </si>
  <si>
    <t>Cancellation/delay stranded asset risk</t>
  </si>
  <si>
    <t>Pre-energization</t>
  </si>
  <si>
    <t>Only the portion demonstrated to recover incremental fixed/operating costs.</t>
  </si>
  <si>
    <t>Incremental generation/resource-adequacy cost</t>
  </si>
  <si>
    <t>Positive values are inflows/benefits to the named account; negative values are costs/foregone revenue. Year 0 is pre-operation/construction.</t>
  </si>
  <si>
    <t>But-for generation, capacity and clean-energy procurement cost.</t>
  </si>
  <si>
    <t>Incremental transmission cost</t>
  </si>
  <si>
    <t>STR-02</t>
  </si>
  <si>
    <t>Project Power &amp; Water Test</t>
  </si>
  <si>
    <t>Early closure/under-load stranded asset risk</t>
  </si>
  <si>
    <t>Operation/closure</t>
  </si>
  <si>
    <t>Facility-specific inputs control. National averages and tariff precedents are sensitivities, not evidence of site performance.</t>
  </si>
  <si>
    <t>Network and direct-assignment transmission cost.</t>
  </si>
  <si>
    <t>Incremental distribution/interconnection cost</t>
  </si>
  <si>
    <t>Project-specific operating envelope</t>
  </si>
  <si>
    <t>Distribution, substation and interconnection facilities.</t>
  </si>
  <si>
    <t>Incremental utility O&amp;M / admin / reserve cost</t>
  </si>
  <si>
    <t>Contracted capacity (MW)</t>
  </si>
  <si>
    <t>Operating, staffing, reserves, software and administration.</t>
  </si>
  <si>
    <t>Exit / cancellation / stranded-cost payments</t>
  </si>
  <si>
    <t>Expected or realized payments under enforceable security; probability-weight if estimated.</t>
  </si>
  <si>
    <t>Community investment fund and direct benefits</t>
  </si>
  <si>
    <t>Contracted community</t>
  </si>
  <si>
    <t>Full-operation load factor</t>
  </si>
  <si>
    <t>Cash or in-kind value directly governed for host-community benefit.</t>
  </si>
  <si>
    <t>Local-resident labor income</t>
  </si>
  <si>
    <t>Local economy (non-fiscal)</t>
  </si>
  <si>
    <t>No</t>
  </si>
  <si>
    <t>Annual facility electricity (GWh)</t>
  </si>
  <si>
    <t>Resident labor income, not total payroll and not public revenue.</t>
  </si>
  <si>
    <t>Local procurement value added</t>
  </si>
  <si>
    <t>Local value added, not gross pass-through procurement spend.</t>
  </si>
  <si>
    <t>Minimum-billing fraction</t>
  </si>
  <si>
    <t>Minimum billed demand (MW)</t>
  </si>
  <si>
    <t>Direct site WUE (L/kWh)</t>
  </si>
  <si>
    <t>Annual direct water consumption (gal)</t>
  </si>
  <si>
    <t>Average daily direct water (gal/day)</t>
  </si>
  <si>
    <t>Indirect water intensity (L/kWh)</t>
  </si>
  <si>
    <t>Annual indirect water footprint (gal)</t>
  </si>
  <si>
    <t>Peak-day potable water (gal/day)</t>
  </si>
  <si>
    <t>Mandatory engineering and agreement findings</t>
  </si>
  <si>
    <t>Finding</t>
  </si>
  <si>
    <t>Contractual control</t>
  </si>
  <si>
    <t>Responsible reviewer</t>
  </si>
  <si>
    <t>Cure / trigger</t>
  </si>
  <si>
    <t>Notes</t>
  </si>
  <si>
    <t>Utility confirms capacity and system reliability</t>
  </si>
  <si>
    <t>Final load study and service plan</t>
  </si>
  <si>
    <t>Capacity/ramp and curtailment covenant</t>
  </si>
  <si>
    <t>Utility/PUC</t>
  </si>
  <si>
    <t>All customer-caused grid costs assigned and secured</t>
  </si>
  <si>
    <t>Cost-of-service and security schedule</t>
  </si>
  <si>
    <t>Beneficiary-pays; minimum bill; guarantee</t>
  </si>
  <si>
    <t>Emergency interruption prioritizes large load before protected customers where lawful</t>
  </si>
  <si>
    <t>Emergency operating protocol</t>
  </si>
  <si>
    <t>Curtailment and non-performance remedies</t>
  </si>
  <si>
    <t>System operator/utility</t>
  </si>
  <si>
    <t>Water source has firm and drought-year headroom</t>
  </si>
  <si>
    <t>Source-specific capacity and drought study</t>
  </si>
  <si>
    <t>Volume cap and drought curtailment</t>
  </si>
  <si>
    <t>Water authority</t>
  </si>
  <si>
    <t>Wastewater system can accept peak and quality</t>
  </si>
  <si>
    <t>Capacity letter and discharge permit</t>
  </si>
  <si>
    <t>Discharge cap and pretreatment</t>
  </si>
  <si>
    <t>Wastewater authority</t>
  </si>
  <si>
    <t>Meters and public reporting cover electricity and water</t>
  </si>
  <si>
    <t>Metering plan and data protocol</t>
  </si>
  <si>
    <t>Annual disclosure and audit rights</t>
  </si>
  <si>
    <t>Utility/locality</t>
  </si>
  <si>
    <t>Worked Physical-Scale Scenarios</t>
  </si>
  <si>
    <t>100 MW, 250 MW and 1 GW examples. These are transparent sensitivities—not facility forecasts or approval evidence.</t>
  </si>
  <si>
    <t>Illustrative load factor</t>
  </si>
  <si>
    <t>Illustrative ramp — Year 4</t>
  </si>
  <si>
    <t>Benchmarks: 0.36 L/kWh is LBNL’s modelled 2023 US-average site WUE and is not a site forecast. The 85% minimum-billing benchmark and 50/65/80/90% ramp reflect AEP Ohio’s approved data-centre tariff design; local tariffs differ.</t>
  </si>
  <si>
    <t>Illustrative direct site WUE (L/kWh)</t>
  </si>
  <si>
    <t>Illustrative minimum-billing fraction</t>
  </si>
  <si>
    <t>Illustrative ramp — Year 1</t>
  </si>
  <si>
    <t>Development Agreement &amp; Security Register</t>
  </si>
  <si>
    <t>Model terms must be adapted by local counsel and coordinated with utility tariffs, permits and state law.</t>
  </si>
  <si>
    <t>Illustrative ramp — Year 2</t>
  </si>
  <si>
    <t>Illustrative ramp — Year 3</t>
  </si>
  <si>
    <t>Required clauses</t>
  </si>
  <si>
    <t>Executed / N/A</t>
  </si>
  <si>
    <t>Open or breached</t>
  </si>
  <si>
    <t>Register result</t>
  </si>
  <si>
    <t>Scenario</t>
  </si>
  <si>
    <t>Contract capacity (MW)</t>
  </si>
  <si>
    <t>Average demand (MW)</t>
  </si>
  <si>
    <t>Annual electricity (GWh)</t>
  </si>
  <si>
    <t>Direct water (gal/year)</t>
  </si>
  <si>
    <t>Direct water (gal/day)</t>
  </si>
  <si>
    <t>Ramp Y1 (MW)</t>
  </si>
  <si>
    <t>Ramp Y2 (MW)</t>
  </si>
  <si>
    <t>Ramp Y4 (MW)</t>
  </si>
  <si>
    <t>100 MW</t>
  </si>
  <si>
    <t>Clause</t>
  </si>
  <si>
    <t>Topic</t>
  </si>
  <si>
    <t>Required term / test</t>
  </si>
  <si>
    <t>Obligated parties</t>
  </si>
  <si>
    <t>Security / remedy</t>
  </si>
  <si>
    <t>Evidence / section</t>
  </si>
  <si>
    <t>Cure deadline</t>
  </si>
  <si>
    <t>Liquidated damages / clawback</t>
  </si>
  <si>
    <t>C-01</t>
  </si>
  <si>
    <t>Ownership and liability</t>
  </si>
  <si>
    <t>Identify owner/operator/tenant/equipment owner and impose joint, several and successor obligations.</t>
  </si>
  <si>
    <t>Owner, operator, tenant, parent guarantor</t>
  </si>
  <si>
    <t>Parent guarantee; covenant/recording where lawful</t>
  </si>
  <si>
    <t>Not drafted</t>
  </si>
  <si>
    <t>250 MW</t>
  </si>
  <si>
    <t>C-02</t>
  </si>
  <si>
    <t>Beneficiary-pays infrastructure</t>
  </si>
  <si>
    <t>Applicant pays all but-for site, generation, transmission, distribution, water and public-service costs.</t>
  </si>
  <si>
    <t>Owner, operator, utility customer</t>
  </si>
  <si>
    <t>Upfront contribution; reconciliation; no ratepayer/local recourse</t>
  </si>
  <si>
    <t>C-03</t>
  </si>
  <si>
    <t>Minimum bill and term</t>
  </si>
  <si>
    <t>Contract term and minimum demand recover incremental fixed cost across ramp and operation.</t>
  </si>
  <si>
    <t>1 GW</t>
  </si>
  <si>
    <t>Utility customer, guarantor</t>
  </si>
  <si>
    <t>Take-or-pay; exit fee; modification notice</t>
  </si>
  <si>
    <t>Annual Compliance Dashboard</t>
  </si>
  <si>
    <t>C-04</t>
  </si>
  <si>
    <t>Credit and collateral</t>
  </si>
  <si>
    <t>Security covers identified exposure and is replenished as obligations change.</t>
  </si>
  <si>
    <t>Set contractual targets before occupancy. Populate actuals from meter, tax, payroll, procurement and audit evidence.</t>
  </si>
  <si>
    <t>Owner, utility customer, parent</t>
  </si>
  <si>
    <t>Irrevocable LOC/cash/acceptable guarantee</t>
  </si>
  <si>
    <t>Reporting year</t>
  </si>
  <si>
    <t>C-05</t>
  </si>
  <si>
    <t>Overall compliance</t>
  </si>
  <si>
    <t>Scale interpretation</t>
  </si>
  <si>
    <t>Cancellation and delay</t>
  </si>
  <si>
    <t>Pre-energization cancellation or material delay reimburses 100% of incurred/committed but-for costs.</t>
  </si>
  <si>
    <t>Applicant, owner, guarantor</t>
  </si>
  <si>
    <t>Draw on security; milestone termination payment</t>
  </si>
  <si>
    <t>At the illustrative 85% load factor, the examples consume about 744.6 GWh, 1,861.5 GWh and 7,446 GWh per year. Applying the 0.36 L/kWh national modelled WUE produces about 194,000, 485,000 and 1.94 million gallons per day of direct water consumption. These calculations show order of magnitude only. Approval must use site design, climate, cooling mode, workload, metered data, source capacity and drought conditions.</t>
  </si>
  <si>
    <t>C-06</t>
  </si>
  <si>
    <t>Emergency flexibility</t>
  </si>
  <si>
    <t>Define curtailable MW, response time, testing, emergency priority and non-performance remedy.</t>
  </si>
  <si>
    <t>Operator, utility customer, tenant</t>
  </si>
  <si>
    <t>Penalty; loss of service priority; dispatch control</t>
  </si>
  <si>
    <t>C-07</t>
  </si>
  <si>
    <t>Electricity transparency</t>
  </si>
  <si>
    <t>Metric</t>
  </si>
  <si>
    <t>Meter and report peak, annual load, ramp, outages, curtailment and tariff compliance.</t>
  </si>
  <si>
    <t>Public fiscal downside sensitivity</t>
  </si>
  <si>
    <t>Unit</t>
  </si>
  <si>
    <t>Test</t>
  </si>
  <si>
    <t>Operator, utility customer</t>
  </si>
  <si>
    <t>Contractual target</t>
  </si>
  <si>
    <t>Audit access; public aggregate reporting</t>
  </si>
  <si>
    <t>Actual</t>
  </si>
  <si>
    <t>Variance</t>
  </si>
  <si>
    <t>Positive public inflow factor</t>
  </si>
  <si>
    <t>Evidence / source</t>
  </si>
  <si>
    <t>Public cost factor</t>
  </si>
  <si>
    <t>Responsible party / cure</t>
  </si>
  <si>
    <t>C-08</t>
  </si>
  <si>
    <t>20Y public NPV ($)</t>
  </si>
  <si>
    <t>Water and wastewater</t>
  </si>
  <si>
    <t>Result</t>
  </si>
  <si>
    <t>P-01</t>
  </si>
  <si>
    <t>Facility-specific annual/peak caps, reuse targets, drought triggers and discharge limits.</t>
  </si>
  <si>
    <t>Peak electrical demand</t>
  </si>
  <si>
    <t>MW</t>
  </si>
  <si>
    <t>Edit the revenue and cost factors to reflect the jurisdiction’s downside case. The table scales positive public inflows and public costs separately, so subsidies and infrastructure costs are not reduced merely because project revenues disappoint. Gate 2 should not pass when the chosen combined downside is negative.</t>
  </si>
  <si>
    <t>Owner, operator, water customer</t>
  </si>
  <si>
    <t>Flow restriction; escalating charge; permit/occupancy cure</t>
  </si>
  <si>
    <t>At most</t>
  </si>
  <si>
    <t>Base</t>
  </si>
  <si>
    <t>C-09</t>
  </si>
  <si>
    <t>Tax and incentive reconciliation</t>
  </si>
  <si>
    <t>Deduct all subsidies; reconcile actual tax base; claw back shortfalls and non-additional benefits.</t>
  </si>
  <si>
    <t>Owner, beneficiaries, affiliates</t>
  </si>
  <si>
    <t>Automatic clawback; interest; set-off</t>
  </si>
  <si>
    <t>C-10</t>
  </si>
  <si>
    <t>Jobs, wages and hiring</t>
  </si>
  <si>
    <t>Define FTE, employer, worksite, median wage, benefits, local geography and annual verification.</t>
  </si>
  <si>
    <t>Owner, operator, major tenants</t>
  </si>
  <si>
    <t>Revenue downside</t>
  </si>
  <si>
    <t>Per-job liquidated damages; cure plan</t>
  </si>
  <si>
    <t>C-11</t>
  </si>
  <si>
    <t>Local procurement value</t>
  </si>
  <si>
    <t>Measure local value added, exclude pass-through spend and verify supplier location/ownership.</t>
  </si>
  <si>
    <t>P-02</t>
  </si>
  <si>
    <t>Owner, operator, contractors</t>
  </si>
  <si>
    <t>Annual electricity consumption</t>
  </si>
  <si>
    <t>Shortfall payment; audit rights</t>
  </si>
  <si>
    <t>GWh</t>
  </si>
  <si>
    <t>Cost overrun</t>
  </si>
  <si>
    <t>C-12</t>
  </si>
  <si>
    <t>Community investment</t>
  </si>
  <si>
    <t>Set amounts, timing, governance, eligible uses and independent reporting.</t>
  </si>
  <si>
    <t>Owner, developer, guarantor</t>
  </si>
  <si>
    <t>Prefunded account/LOC; interest; enforcement</t>
  </si>
  <si>
    <t>P-03</t>
  </si>
  <si>
    <t>Minimum billed demand paid</t>
  </si>
  <si>
    <t>C-13</t>
  </si>
  <si>
    <t>Monitoring and audit</t>
  </si>
  <si>
    <t>At least</t>
  </si>
  <si>
    <t>Annual public report, record retention, third-party audit, confidentiality protocol and cost reimbursement.</t>
  </si>
  <si>
    <t>All obligated parties</t>
  </si>
  <si>
    <t>Audit reimbursement; default for non-reporting</t>
  </si>
  <si>
    <t>Combined downside</t>
  </si>
  <si>
    <t>C-14</t>
  </si>
  <si>
    <t>P-04</t>
  </si>
  <si>
    <t>Transfer and affiliate protection</t>
  </si>
  <si>
    <t>Verified curtailable load</t>
  </si>
  <si>
    <t>No assignment, lease or change of control releases obligations without consent and replacement security.</t>
  </si>
  <si>
    <t>Owner, operator, tenant, guarantor</t>
  </si>
  <si>
    <t>Continuing liability; consent right</t>
  </si>
  <si>
    <t>Severe sensitivity</t>
  </si>
  <si>
    <t>C-15</t>
  </si>
  <si>
    <t>Decommissioning</t>
  </si>
  <si>
    <t>P-05</t>
  </si>
  <si>
    <t>Define inactivity trigger, closure plan, e-waste handling, site restoration and periodically updated cost security.</t>
  </si>
  <si>
    <t>Emergency-curtailment non-performance events</t>
  </si>
  <si>
    <t>Owner, operator, guarantor</t>
  </si>
  <si>
    <t>count</t>
  </si>
  <si>
    <t>Engineer-priced reserve/LOC; step-in rights</t>
  </si>
  <si>
    <t>C-16</t>
  </si>
  <si>
    <t>Default and enforcement</t>
  </si>
  <si>
    <t>Define notice, cure, specific performance, damages, permit/occupancy remedies and fee recovery.</t>
  </si>
  <si>
    <t>Cumulative remedies; no exclusive soft remedy</t>
  </si>
  <si>
    <t>W-01</t>
  </si>
  <si>
    <t>Annual potable-water use</t>
  </si>
  <si>
    <t>gal</t>
  </si>
  <si>
    <t>W-02</t>
  </si>
  <si>
    <t>Peak-day potable-water use</t>
  </si>
  <si>
    <t>gal/day</t>
  </si>
  <si>
    <t>W-03</t>
  </si>
  <si>
    <t>%</t>
  </si>
  <si>
    <t>W-04</t>
  </si>
  <si>
    <t>Wastewater discharge</t>
  </si>
  <si>
    <t>E-01</t>
  </si>
  <si>
    <t>Power Usage Effectiveness (PUE)</t>
  </si>
  <si>
    <t>ratio</t>
  </si>
  <si>
    <t>E-02</t>
  </si>
  <si>
    <t>Direct site Water Usage Effectiveness</t>
  </si>
  <si>
    <t>L/kWh</t>
  </si>
  <si>
    <t>F-01</t>
  </si>
  <si>
    <t>Local taxes and fees paid</t>
  </si>
  <si>
    <t>$</t>
  </si>
  <si>
    <t>F-02</t>
  </si>
  <si>
    <t>State taxes and fees paid</t>
  </si>
  <si>
    <t>Community-fund payments</t>
  </si>
  <si>
    <t>J-01</t>
  </si>
  <si>
    <t>Permanent operating FTE</t>
  </si>
  <si>
    <t>FTE</t>
  </si>
  <si>
    <t>J-02</t>
  </si>
  <si>
    <t>Median wage</t>
  </si>
  <si>
    <t>$/year</t>
  </si>
  <si>
    <t>J-03</t>
  </si>
  <si>
    <t>Local-resident hires</t>
  </si>
  <si>
    <t>J-04</t>
  </si>
  <si>
    <t>L-01</t>
  </si>
  <si>
    <t>Boundary noise</t>
  </si>
  <si>
    <t>dBA</t>
  </si>
  <si>
    <t>R-01</t>
  </si>
  <si>
    <t>Days annual report late</t>
  </si>
  <si>
    <t>days</t>
  </si>
  <si>
    <t>Model Checks</t>
  </si>
  <si>
    <t>The template is intentionally incomplete until project evidence and executed terms are entered.</t>
  </si>
  <si>
    <t>Overall model readiness</t>
  </si>
  <si>
    <t>Check</t>
  </si>
  <si>
    <t>Expected</t>
  </si>
  <si>
    <t>Difference</t>
  </si>
  <si>
    <t>Tolerance</t>
  </si>
  <si>
    <t>Fix / location</t>
  </si>
  <si>
    <t>All seven gate statuses entered</t>
  </si>
  <si>
    <t>Hard Gates!D7:D13</t>
  </si>
  <si>
    <t>No failed or unknown hard gates</t>
  </si>
  <si>
    <t>Contracted MW provided and positive</t>
  </si>
  <si>
    <t>Project Intake!B21</t>
  </si>
  <si>
    <t>Critical ownership disclosures provided</t>
  </si>
  <si>
    <t>Project Intake!D9:D20</t>
  </si>
  <si>
    <t>Required fiscal inputs complete</t>
  </si>
  <si>
    <t>Fiscal Inputs!E8:G26</t>
  </si>
  <si>
    <t>Required fiscal evidence classified</t>
  </si>
  <si>
    <t>Sources &amp; Assumption Register</t>
  </si>
  <si>
    <t>Fiscal Inputs!H8:H28</t>
  </si>
  <si>
    <t>Primary public sources underpin the policy precedents. Facility decisions still require project-specific evidence.</t>
  </si>
  <si>
    <t>Total public NPV is non-negative</t>
  </si>
  <si>
    <t>Institution</t>
  </si>
  <si>
    <t>Document / action</t>
  </si>
  <si>
    <t>Date</t>
  </si>
  <si>
    <t>Jurisdiction</t>
  </si>
  <si>
    <t>Used for</t>
  </si>
  <si>
    <t>URL</t>
  </si>
  <si>
    <t>Important limitation</t>
  </si>
  <si>
    <t>S01</t>
  </si>
  <si>
    <t>Lawrence Berkeley National Laboratory / US DOE</t>
  </si>
  <si>
    <t>20Y Model!B49</t>
  </si>
  <si>
    <t>2024 United States Data Center Energy Usage Report</t>
  </si>
  <si>
    <t>Combined downside public NPV is non-negative</t>
  </si>
  <si>
    <t>United States</t>
  </si>
  <si>
    <t>176 TWh/4.4% in 2023; 2028 range; 0.36 L/kWh WUE; 66bn L direct water</t>
  </si>
  <si>
    <t>https://eta-publications.lbl.gov/sites/default/files/2024-12/lbnl-2024-united-states-data-center-energy-usage-report_1.pdf</t>
  </si>
  <si>
    <t>Bottom-up national model; not facility-specific; limited public data.</t>
  </si>
  <si>
    <t>S02</t>
  </si>
  <si>
    <t>Lawrence Berkeley National Laboratory</t>
  </si>
  <si>
    <t>Speed to Power: Solutions for Accelerating Large Load Connections</t>
  </si>
  <si>
    <t>FACT / SYNTHESIS</t>
  </si>
  <si>
    <t>Scenarios!D30</t>
  </si>
  <si>
    <t>Cost allocation, direct assignment, minimum bills, terms, collateral, flexibility</t>
  </si>
  <si>
    <t>Utility/ratepayer NPV is non-negative</t>
  </si>
  <si>
    <t>https://eta-publications.lbl.gov/sites/default/files/2026-06/lbnl_large_loads_speed_to_power_final_1.pdf</t>
  </si>
  <si>
    <t>Compendium of approaches; design choices are not proven outcomes.</t>
  </si>
  <si>
    <t>S03</t>
  </si>
  <si>
    <t>Large Loads Literature Review</t>
  </si>
  <si>
    <t>SYNTHESIS</t>
  </si>
  <si>
    <t>Policy and research cross-check</t>
  </si>
  <si>
    <t>20Y Model!B48</t>
  </si>
  <si>
    <t>No known public-risk exposure</t>
  </si>
  <si>
    <t>https://eta-publications.lbl.gov/sites/default/files/2026-01/lbnl_lllreview_dec_update_2025_final.pdf</t>
  </si>
  <si>
    <t>Summarizes sources with different sponsors and methods.</t>
  </si>
  <si>
    <t>S04</t>
  </si>
  <si>
    <t>AEP Ohio / Public Utilities Commission of Ohio</t>
  </si>
  <si>
    <t>Approved Data Center Tariff and implementation page</t>
  </si>
  <si>
    <t>Ohio</t>
  </si>
  <si>
    <t>25 MW threshold; study fees; ramp; term; collateral; minimum demand; exit/cancellation</t>
  </si>
  <si>
    <t>https://www.aepohio.com/company/about/rates/data-center-tariff/</t>
  </si>
  <si>
    <t>Tariff design in one utility; customer outcomes require later evidence.</t>
  </si>
  <si>
    <t>S05</t>
  </si>
  <si>
    <t>Public Utilities Commission of Ohio</t>
  </si>
  <si>
    <t>Order announcement for AEP Ohio data-centre tariff</t>
  </si>
  <si>
    <t>Regulatory purpose: reduce underused-investment cost shifting</t>
  </si>
  <si>
    <t>https://content.govdelivery.com/accounts/OHPUC/bulletins/3e8bb79</t>
  </si>
  <si>
    <t>Commission summary; full tariff/order controls.</t>
  </si>
  <si>
    <t>S06</t>
  </si>
  <si>
    <t>Cost Ledger!H8:J27</t>
  </si>
  <si>
    <t>Georgia Public Service Commission</t>
  </si>
  <si>
    <t>Rule for customers over 100 MW</t>
  </si>
  <si>
    <t>Georgia</t>
  </si>
  <si>
    <t>Water source/cap/drought disclosures provided</t>
  </si>
  <si>
    <t>Upstream generation/T&amp;D cost, up to 15-year contracts, minimum billing, PSC review</t>
  </si>
  <si>
    <t>https://psc.ga.gov/site/assets/files/8617/media_advisory_data_centers_rule_1-23-2025.pdf</t>
  </si>
  <si>
    <t>Rule description, not evidence that cost shifting was eliminated.</t>
  </si>
  <si>
    <t>S07</t>
  </si>
  <si>
    <t>Michigan Public Service Commission</t>
  </si>
  <si>
    <t>DTE data-centre contracts approved with conditions</t>
  </si>
  <si>
    <t>Michigan</t>
  </si>
  <si>
    <t>FACT / CLAIM</t>
  </si>
  <si>
    <t>19-year term; 80% minimum bill; termination payment; emergency priority</t>
  </si>
  <si>
    <t>https://www.michigan.gov/mpsc/commission/news-releases/2025/12/18/mpsc-approves-dte-electric-energy-contracts-for-data-center</t>
  </si>
  <si>
    <t>Project Intake!D30:D35</t>
  </si>
  <si>
    <t>Contract terms are facts; projected $300m ratepayer benefit is a utility filing estimate.</t>
  </si>
  <si>
    <t>Required contract clauses executed</t>
  </si>
  <si>
    <t>S08</t>
  </si>
  <si>
    <t>Governor of New York</t>
  </si>
  <si>
    <t>Executive Order 62</t>
  </si>
  <si>
    <t>New York</t>
  </si>
  <si>
    <t>FACT / POLICY</t>
  </si>
  <si>
    <t>Beneficiary-pays, grid fund concept, water review, community framework, ≥50 MW definition</t>
  </si>
  <si>
    <t>https://www.governor.ny.gov/executive-order/no-62-establishing-temporary-moratorium-data-centers-new-york-while-state-develops</t>
  </si>
  <si>
    <t>Some mechanisms directed for development, not yet proven policy outcomes.</t>
  </si>
  <si>
    <t>S09</t>
  </si>
  <si>
    <t>Georgia Department of Audits and Accounts / University of Georgia</t>
  </si>
  <si>
    <t>Georgia Data Center Sales &amp; Use Tax Exemption Evaluation</t>
  </si>
  <si>
    <t>But-for analysis; incentives separate from fiscal revenue and modelled value added</t>
  </si>
  <si>
    <t>Contract Register!G8:G23</t>
  </si>
  <si>
    <t>https://www.audits.ga.gov/ReportSearch/download/33298</t>
  </si>
  <si>
    <t>Annual dashboard targets configured</t>
  </si>
  <si>
    <t>Model and projections; economic value added is not retained public revenue.</t>
  </si>
  <si>
    <t>S10</t>
  </si>
  <si>
    <t>City of Lancaster, Pennsylvania</t>
  </si>
  <si>
    <t>Draft data-centre Community Benefits Agreement</t>
  </si>
  <si>
    <t>Lancaster, PA</t>
  </si>
  <si>
    <t>DRAFT PRECEDENT</t>
  </si>
  <si>
    <t>Water cap, reporting, community funds, letters of credit and enforcement</t>
  </si>
  <si>
    <t>Annual Dashboard!E8:E27</t>
  </si>
  <si>
    <t>https://www.cityoflancasterpa.gov/wp-content/uploads/2025/11/Lancaster-CBA-Draft.pdf</t>
  </si>
  <si>
    <t>Draft/project-specific agreement; legal authority and final terms must be checked.</t>
  </si>
  <si>
    <t>S11</t>
  </si>
  <si>
    <t>City of St. Louis</t>
  </si>
  <si>
    <t>Conditional-use and community-benefit framework</t>
  </si>
  <si>
    <t>St. Louis, MO</t>
  </si>
  <si>
    <t>Measurable conditions, liquidated damages, jobs, tax reconciliation, decommissioning</t>
  </si>
  <si>
    <t>https://www.stlouis-mo.gov/government/departments/mayor/news/data-center-permit-approved.cfm</t>
  </si>
  <si>
    <t>Conditions are reported facts; jobs and tax revenue are projections/claims.</t>
  </si>
  <si>
    <t>S12</t>
  </si>
  <si>
    <t>Linn County, Iowa</t>
  </si>
  <si>
    <t>Data-centre ordinance summary</t>
  </si>
  <si>
    <t>Linn County, IA</t>
  </si>
  <si>
    <t>Water study/agreement, economic development agreement and community fund</t>
  </si>
  <si>
    <t>https://www.linncountyiowa.gov/1862/Data-Centers-in-Unincorporated-Linn-Coun</t>
  </si>
  <si>
    <t>Local ordinance; check signed text and Iowa authority before reuse.</t>
  </si>
  <si>
    <t>S13</t>
  </si>
  <si>
    <t>Virginia Joint Legislative Audit and Review Commission</t>
  </si>
  <si>
    <t>Data Centers in Virginia</t>
  </si>
  <si>
    <t>Virginia</t>
  </si>
  <si>
    <t>FACT / ESTIMATE / CLAIM</t>
  </si>
  <si>
    <t>Local fiscal concentration, jobs, electricity, water and siting evidence</t>
  </si>
  <si>
    <t>https://jlarc.virginia.gov/pdfs/reports/Rpt598.pdf</t>
  </si>
  <si>
    <t>Some facility/workforce figures originate from industry representatives.</t>
  </si>
  <si>
    <t>Account totals and present values</t>
  </si>
  <si>
    <t>Local government net</t>
  </si>
  <si>
    <t>State government net</t>
  </si>
  <si>
    <t>Utility/ratepayer net</t>
  </si>
  <si>
    <t>Contracted community benefits</t>
  </si>
  <si>
    <t>Local economy retained value (non-fiscal)</t>
  </si>
  <si>
    <t>Total public net</t>
  </si>
  <si>
    <t>Local + state + utility/ratepayer</t>
  </si>
  <si>
    <t>Discount factor</t>
  </si>
  <si>
    <t>Model rate</t>
  </si>
  <si>
    <t>PV — local government</t>
  </si>
  <si>
    <t>PV — state government</t>
  </si>
  <si>
    <t>PV — utility/ratepayer</t>
  </si>
  <si>
    <t>PV — total public</t>
  </si>
  <si>
    <t>PV — contracted community</t>
  </si>
  <si>
    <t>PV — local economy (non-fiscal)</t>
  </si>
  <si>
    <t>Decision output</t>
  </si>
  <si>
    <t>NPV ($)</t>
  </si>
  <si>
    <t>Local government NPV</t>
  </si>
  <si>
    <t>State government NPV</t>
  </si>
  <si>
    <t>Utility/ratepayer NPV</t>
  </si>
  <si>
    <t>Total public NPV</t>
  </si>
  <si>
    <t>Contracted community-benefit NPV</t>
  </si>
  <si>
    <t>Locally retained economic-value NPV (non-fiscal)</t>
  </si>
  <si>
    <t>Public NPV tie-out</t>
  </si>
  <si>
    <t>Positive public inflows NPV</t>
  </si>
  <si>
    <t>Public costs / foregone revenue NPV</t>
  </si>
  <si>
    <t>Positive + cost NPV tie-out</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</si>
</sst>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0;[Red]($#,##0);-"/>
    <numFmt numFmtId="165" formatCode="#,##0.0;[Red](#,##0.0);-"/>
    <numFmt numFmtId="166" formatCode="0.0%;[Red](0.0%);-"/>
    <numFmt numFmtId="167" formatCode="#,##0;[Red](#,##0);-"/>
    <numFmt numFmtId="168" formatCode="0&quot;E&quot;"/>
    <numFmt numFmtId="169" formatCode="yyyy-mm-dd"/>
    <numFmt numFmtId="170" formatCode="0.000"/>
  </numFmts>
  <fonts count="16">
    <font>
      <sz val="11.0"/>
      <color rgb="FF000000"/>
      <name val="Carlito"/>
      <scheme val="minor"/>
    </font>
    <font>
      <b/>
      <sz val="18.0"/>
      <color rgb="FF202124"/>
      <name val="Arial"/>
    </font>
    <font>
      <b/>
      <sz val="18.0"/>
      <color rgb="FFFFFFFF"/>
      <name val="Arial"/>
    </font>
    <font>
      <sz val="10.0"/>
      <color rgb="FF5F6368"/>
      <name val="Arial"/>
    </font>
    <font>
      <sz val="11.0"/>
      <color theme="1"/>
      <name val="Carlito"/>
    </font>
    <font>
      <i/>
      <sz val="10.0"/>
      <color rgb="FF333F4C"/>
      <name val="Arial"/>
    </font>
    <font>
      <sz val="10.0"/>
      <color theme="1"/>
      <name val="Arial"/>
    </font>
    <font>
      <b/>
      <sz val="10.0"/>
      <color rgb="FF202124"/>
      <name val="Arial"/>
    </font>
    <font>
      <b/>
      <sz val="11.0"/>
      <color rgb="FF1E2D3D"/>
      <name val="Arial"/>
    </font>
    <font>
      <b/>
      <sz val="11.0"/>
      <color rgb="FF202124"/>
      <name val="Arial"/>
    </font>
    <font/>
    <font>
      <b/>
      <sz val="10.0"/>
      <color rgb="FFFFFFFF"/>
      <name val="Arial"/>
    </font>
    <font>
      <sz val="10.0"/>
      <color rgb="FF202124"/>
      <name val="Arial"/>
    </font>
    <font>
      <sz val="10.0"/>
      <color rgb="FF0000FF"/>
      <name val="Arial"/>
    </font>
    <font>
      <i/>
      <sz val="9.0"/>
      <color rgb="FF5F6368"/>
      <name val="Arial"/>
    </font>
    <font>
      <sz val="10.0"/>
      <color rgb="FF008000"/>
      <name val="Arial"/>
    </font>
  </fonts>
  <fills count="9">
    <fill>
      <patternFill patternType="none"/>
    </fill>
    <fill>
      <patternFill patternType="lightGray"/>
    </fill>
    <fill>
      <patternFill patternType="solid">
        <fgColor rgb="FF1E2D3D"/>
        <bgColor rgb="FF1E2D3D"/>
      </patternFill>
    </fill>
    <fill>
      <patternFill patternType="solid">
        <fgColor rgb="FFEAF2F7"/>
        <bgColor rgb="FFEAF2F7"/>
      </patternFill>
    </fill>
    <fill>
      <patternFill patternType="solid">
        <fgColor rgb="FFD1DBE2"/>
        <bgColor rgb="FFD1DBE2"/>
      </patternFill>
    </fill>
    <fill>
      <patternFill patternType="solid">
        <fgColor rgb="FFE8EAED"/>
        <bgColor rgb="FFE8EAED"/>
      </patternFill>
    </fill>
    <fill>
      <patternFill patternType="solid">
        <fgColor rgb="FFF1F3F4"/>
        <bgColor rgb="FFF1F3F4"/>
      </patternFill>
    </fill>
    <fill>
      <patternFill patternType="solid">
        <fgColor rgb="FF3F5160"/>
        <bgColor rgb="FF3F5160"/>
      </patternFill>
    </fill>
    <fill>
      <patternFill patternType="solid">
        <fgColor rgb="FFFFF2CC"/>
        <bgColor rgb="FFFFF2CC"/>
      </patternFill>
    </fill>
  </fills>
  <borders count="14">
    <border/>
    <border>
      <bottom style="thin">
        <color rgb="FFDADCE0"/>
      </bottom>
    </border>
    <border>
      <left style="thin">
        <color rgb="FFDADCE0"/>
      </left>
      <top style="thin">
        <color rgb="FFDADCE0"/>
      </top>
      <bottom style="thin">
        <color rgb="FFDADCE0"/>
      </bottom>
    </border>
    <border>
      <top style="thin">
        <color rgb="FFDADCE0"/>
      </top>
      <bottom style="thin">
        <color rgb="FFDADCE0"/>
      </bottom>
    </border>
    <border>
      <right style="thin">
        <color rgb="FFDADCE0"/>
      </right>
      <top style="thin">
        <color rgb="FFDADCE0"/>
      </top>
      <bottom style="thin">
        <color rgb="FFDADCE0"/>
      </bottom>
    </border>
    <border>
      <bottom style="medium">
        <color rgb="FFDADCE0"/>
      </bottom>
    </border>
    <border>
      <top style="thin">
        <color rgb="FFDADCE0"/>
      </top>
    </border>
    <border>
      <left style="thin">
        <color rgb="FFDADCE0"/>
      </left>
      <top style="thin">
        <color rgb="FFDADCE0"/>
      </top>
    </border>
    <border>
      <right style="thin">
        <color rgb="FFDADCE0"/>
      </right>
      <top style="thin">
        <color rgb="FFDADCE0"/>
      </top>
    </border>
    <border>
      <left style="thin">
        <color rgb="FFDADCE0"/>
      </left>
    </border>
    <border>
      <right style="thin">
        <color rgb="FFDADCE0"/>
      </right>
    </border>
    <border>
      <left style="thin">
        <color rgb="FFDADCE0"/>
      </left>
      <bottom style="thin">
        <color rgb="FFDADCE0"/>
      </bottom>
    </border>
    <border>
      <right style="thin">
        <color rgb="FFDADCE0"/>
      </right>
      <bottom style="thin">
        <color rgb="FFDADCE0"/>
      </bottom>
    </border>
    <border>
      <top style="thin">
        <color rgb="FFDADCE0"/>
      </top>
      <bottom style="medium">
        <color rgb="FFDADCE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Alignment="1" applyFont="1">
      <alignment vertical="top"/>
    </xf>
    <xf borderId="0" fillId="2" fontId="2" numFmtId="0" xfId="0" applyAlignment="1" applyFill="1" applyFont="1">
      <alignment horizontal="left" vertical="center"/>
    </xf>
    <xf borderId="0" fillId="0" fontId="3" numFmtId="0" xfId="0" applyAlignment="1" applyFont="1">
      <alignment shrinkToFit="0" vertical="top" wrapText="1"/>
    </xf>
    <xf borderId="0" fillId="0" fontId="4" numFmtId="0" xfId="0" applyAlignment="1" applyFont="1">
      <alignment vertical="top"/>
    </xf>
    <xf borderId="0" fillId="3" fontId="5" numFmtId="0" xfId="0" applyAlignment="1" applyFill="1" applyFont="1">
      <alignment shrinkToFit="0" vertical="center" wrapText="1"/>
    </xf>
    <xf borderId="0" fillId="0" fontId="6" numFmtId="0" xfId="0" applyAlignment="1" applyFont="1">
      <alignment shrinkToFit="0" vertical="center" wrapText="1"/>
    </xf>
    <xf borderId="1" fillId="0" fontId="7" numFmtId="0" xfId="0" applyAlignment="1" applyBorder="1" applyFont="1">
      <alignment shrinkToFit="0" vertical="top" wrapText="1"/>
    </xf>
    <xf borderId="0" fillId="4" fontId="8" numFmtId="0" xfId="0" applyFill="1" applyFont="1"/>
    <xf borderId="2" fillId="5" fontId="9" numFmtId="0" xfId="0" applyAlignment="1" applyBorder="1" applyFill="1" applyFont="1">
      <alignment vertical="top"/>
    </xf>
    <xf borderId="3" fillId="0" fontId="10" numFmtId="0" xfId="0" applyBorder="1" applyFont="1"/>
    <xf borderId="4" fillId="0" fontId="10" numFmtId="0" xfId="0" applyBorder="1" applyFont="1"/>
    <xf borderId="5" fillId="6" fontId="7" numFmtId="0" xfId="0" applyAlignment="1" applyBorder="1" applyFill="1" applyFont="1">
      <alignment shrinkToFit="0" vertical="top" wrapText="1"/>
    </xf>
    <xf borderId="0" fillId="7" fontId="11" numFmtId="0" xfId="0" applyAlignment="1" applyFill="1" applyFont="1">
      <alignment shrinkToFit="0" wrapText="1"/>
    </xf>
    <xf quotePrefix="1" borderId="0" fillId="0" fontId="6" numFmtId="0" xfId="0" applyAlignment="1" applyFont="1">
      <alignment shrinkToFit="0" vertical="center" wrapText="1"/>
    </xf>
    <xf borderId="1" fillId="0" fontId="12" numFmtId="0" xfId="0" applyAlignment="1" applyBorder="1" applyFont="1">
      <alignment shrinkToFit="0" vertical="top" wrapText="1"/>
    </xf>
    <xf borderId="1" fillId="0" fontId="9" numFmtId="0" xfId="0" applyAlignment="1" applyBorder="1" applyFont="1">
      <alignment shrinkToFit="0" vertical="top" wrapText="1"/>
    </xf>
    <xf borderId="1" fillId="8" fontId="13" numFmtId="0" xfId="0" applyAlignment="1" applyBorder="1" applyFill="1" applyFont="1">
      <alignment shrinkToFit="0" vertical="top" wrapText="1"/>
    </xf>
    <xf borderId="6" fillId="0" fontId="12" numFmtId="0" xfId="0" applyAlignment="1" applyBorder="1" applyFont="1">
      <alignment shrinkToFit="0" vertical="top" wrapText="1"/>
    </xf>
    <xf borderId="3" fillId="0" fontId="7" numFmtId="0" xfId="0" applyAlignment="1" applyBorder="1" applyFont="1">
      <alignment shrinkToFit="0" vertical="top" wrapText="1"/>
    </xf>
    <xf borderId="3" fillId="0" fontId="12" numFmtId="0" xfId="0" applyAlignment="1" applyBorder="1" applyFont="1">
      <alignment shrinkToFit="0" vertical="top" wrapText="1"/>
    </xf>
    <xf borderId="3" fillId="8" fontId="13" numFmtId="0" xfId="0" applyAlignment="1" applyBorder="1" applyFont="1">
      <alignment shrinkToFit="0" vertical="top" wrapText="1"/>
    </xf>
    <xf borderId="3" fillId="0" fontId="9" numFmtId="0" xfId="0" applyAlignment="1" applyBorder="1" applyFont="1">
      <alignment shrinkToFit="0" vertical="top" wrapText="1"/>
    </xf>
    <xf borderId="3" fillId="0" fontId="9" numFmtId="164" xfId="0" applyAlignment="1" applyBorder="1" applyFont="1" applyNumberFormat="1">
      <alignment shrinkToFit="0" vertical="top" wrapText="1"/>
    </xf>
    <xf borderId="6" fillId="0" fontId="7" numFmtId="0" xfId="0" applyAlignment="1" applyBorder="1" applyFont="1">
      <alignment shrinkToFit="0" vertical="top" wrapText="1"/>
    </xf>
    <xf borderId="6" fillId="0" fontId="9" numFmtId="0" xfId="0" applyAlignment="1" applyBorder="1" applyFont="1">
      <alignment shrinkToFit="0" vertical="top" wrapText="1"/>
    </xf>
    <xf borderId="6" fillId="8" fontId="13" numFmtId="0" xfId="0" applyAlignment="1" applyBorder="1" applyFont="1">
      <alignment shrinkToFit="0" vertical="top" wrapText="1"/>
    </xf>
    <xf borderId="7" fillId="6" fontId="14" numFmtId="0" xfId="0" applyAlignment="1" applyBorder="1" applyFont="1">
      <alignment shrinkToFit="0" vertical="top" wrapText="1"/>
    </xf>
    <xf borderId="6" fillId="0" fontId="10" numFmtId="0" xfId="0" applyBorder="1" applyFont="1"/>
    <xf borderId="8" fillId="0" fontId="10" numFmtId="0" xfId="0" applyBorder="1" applyFont="1"/>
    <xf borderId="1" fillId="0" fontId="7" numFmtId="0" xfId="0" applyAlignment="1" applyBorder="1" applyFont="1">
      <alignment horizontal="center" shrinkToFit="0" vertical="top" wrapText="1"/>
    </xf>
    <xf borderId="9" fillId="0" fontId="10" numFmtId="0" xfId="0" applyBorder="1" applyFont="1"/>
    <xf borderId="10" fillId="0" fontId="10" numFmtId="0" xfId="0" applyBorder="1" applyFont="1"/>
    <xf borderId="3" fillId="8" fontId="13" numFmtId="165" xfId="0" applyAlignment="1" applyBorder="1" applyFont="1" applyNumberFormat="1">
      <alignment shrinkToFit="0" vertical="top" wrapText="1"/>
    </xf>
    <xf borderId="11" fillId="0" fontId="10" numFmtId="0" xfId="0" applyBorder="1" applyFont="1"/>
    <xf borderId="1" fillId="0" fontId="10" numFmtId="0" xfId="0" applyBorder="1" applyFont="1"/>
    <xf borderId="12" fillId="0" fontId="10" numFmtId="0" xfId="0" applyBorder="1" applyFont="1"/>
    <xf borderId="3" fillId="0" fontId="7" numFmtId="0" xfId="0" applyAlignment="1" applyBorder="1" applyFont="1">
      <alignment horizontal="center" shrinkToFit="0" vertical="top" wrapText="1"/>
    </xf>
    <xf borderId="3" fillId="8" fontId="13" numFmtId="166" xfId="0" applyAlignment="1" applyBorder="1" applyFont="1" applyNumberFormat="1">
      <alignment shrinkToFit="0" vertical="top" wrapText="1"/>
    </xf>
    <xf borderId="0" fillId="0" fontId="7" numFmtId="0" xfId="0" applyAlignment="1" applyFont="1">
      <alignment shrinkToFit="0" vertical="top" wrapText="1"/>
    </xf>
    <xf borderId="6" fillId="0" fontId="7" numFmtId="0" xfId="0" applyAlignment="1" applyBorder="1" applyFont="1">
      <alignment horizontal="center" shrinkToFit="0" vertical="top" wrapText="1"/>
    </xf>
    <xf borderId="0" fillId="0" fontId="12" numFmtId="164" xfId="0" applyAlignment="1" applyFont="1" applyNumberFormat="1">
      <alignment shrinkToFit="0" vertical="top" wrapText="1"/>
    </xf>
    <xf borderId="0" fillId="0" fontId="12" numFmtId="0" xfId="0" applyAlignment="1" applyFont="1">
      <alignment shrinkToFit="0" vertical="top" wrapText="1"/>
    </xf>
    <xf borderId="3" fillId="8" fontId="13" numFmtId="167" xfId="0" applyAlignment="1" applyBorder="1" applyFont="1" applyNumberFormat="1">
      <alignment shrinkToFit="0" vertical="top" wrapText="1"/>
    </xf>
    <xf borderId="1" fillId="8" fontId="13" numFmtId="164" xfId="0" applyAlignment="1" applyBorder="1" applyFont="1" applyNumberFormat="1">
      <alignment shrinkToFit="0" vertical="top" wrapText="1"/>
    </xf>
    <xf borderId="3" fillId="8" fontId="13" numFmtId="164" xfId="0" applyAlignment="1" applyBorder="1" applyFont="1" applyNumberFormat="1">
      <alignment shrinkToFit="0" vertical="top" wrapText="1"/>
    </xf>
    <xf borderId="0" fillId="8" fontId="13" numFmtId="166" xfId="0" applyAlignment="1" applyFont="1" applyNumberFormat="1">
      <alignment shrinkToFit="0" vertical="top" wrapText="1"/>
    </xf>
    <xf borderId="0" fillId="8" fontId="13" numFmtId="1" xfId="0" applyAlignment="1" applyFont="1" applyNumberFormat="1">
      <alignment shrinkToFit="0" vertical="top" wrapText="1"/>
    </xf>
    <xf borderId="1" fillId="8" fontId="13" numFmtId="166" xfId="0" applyAlignment="1" applyBorder="1" applyFont="1" applyNumberFormat="1">
      <alignment shrinkToFit="0" vertical="top" wrapText="1"/>
    </xf>
    <xf borderId="0" fillId="6" fontId="14" numFmtId="0" xfId="0" applyAlignment="1" applyFont="1">
      <alignment shrinkToFit="0" vertical="top" wrapText="1"/>
    </xf>
    <xf borderId="6" fillId="8" fontId="13" numFmtId="164" xfId="0" applyAlignment="1" applyBorder="1" applyFont="1" applyNumberFormat="1">
      <alignment shrinkToFit="0" vertical="top" wrapText="1"/>
    </xf>
    <xf borderId="1" fillId="6" fontId="7" numFmtId="0" xfId="0" applyAlignment="1" applyBorder="1" applyFont="1">
      <alignment shrinkToFit="0" vertical="top" wrapText="1"/>
    </xf>
    <xf borderId="1" fillId="0" fontId="15" numFmtId="165" xfId="0" applyAlignment="1" applyBorder="1" applyFont="1" applyNumberFormat="1">
      <alignment shrinkToFit="0" vertical="top" wrapText="1"/>
    </xf>
    <xf borderId="13" fillId="6" fontId="7" numFmtId="0" xfId="0" applyAlignment="1" applyBorder="1" applyFont="1">
      <alignment shrinkToFit="0" vertical="top" wrapText="1"/>
    </xf>
    <xf borderId="3" fillId="0" fontId="15" numFmtId="166" xfId="0" applyAlignment="1" applyBorder="1" applyFont="1" applyNumberFormat="1">
      <alignment shrinkToFit="0" vertical="top" wrapText="1"/>
    </xf>
    <xf borderId="13" fillId="6" fontId="7" numFmtId="168" xfId="0" applyAlignment="1" applyBorder="1" applyFont="1" applyNumberFormat="1">
      <alignment shrinkToFit="0" vertical="top" wrapText="1"/>
    </xf>
    <xf borderId="6" fillId="8" fontId="13" numFmtId="166" xfId="0" applyAlignment="1" applyBorder="1" applyFont="1" applyNumberFormat="1">
      <alignment shrinkToFit="0" vertical="top" wrapText="1"/>
    </xf>
    <xf borderId="3" fillId="0" fontId="12" numFmtId="165" xfId="0" applyAlignment="1" applyBorder="1" applyFont="1" applyNumberFormat="1">
      <alignment shrinkToFit="0" vertical="top" wrapText="1"/>
    </xf>
    <xf borderId="3" fillId="0" fontId="12" numFmtId="167" xfId="0" applyAlignment="1" applyBorder="1" applyFont="1" applyNumberFormat="1">
      <alignment shrinkToFit="0" vertical="top" wrapText="1"/>
    </xf>
    <xf borderId="1" fillId="0" fontId="15" numFmtId="164" xfId="0" applyAlignment="1" applyBorder="1" applyFont="1" applyNumberFormat="1">
      <alignment shrinkToFit="0" vertical="top" wrapText="1"/>
    </xf>
    <xf borderId="6" fillId="0" fontId="15" numFmtId="167" xfId="0" applyAlignment="1" applyBorder="1" applyFont="1" applyNumberFormat="1">
      <alignment shrinkToFit="0" vertical="top" wrapText="1"/>
    </xf>
    <xf borderId="3" fillId="0" fontId="15" numFmtId="164" xfId="0" applyAlignment="1" applyBorder="1" applyFont="1" applyNumberFormat="1">
      <alignment shrinkToFit="0" vertical="top" wrapText="1"/>
    </xf>
    <xf borderId="3" fillId="6" fontId="7" numFmtId="0" xfId="0" applyAlignment="1" applyBorder="1" applyFont="1">
      <alignment shrinkToFit="0" vertical="top" wrapText="1"/>
    </xf>
    <xf borderId="0" fillId="8" fontId="13" numFmtId="165" xfId="0" applyAlignment="1" applyFont="1" applyNumberFormat="1">
      <alignment shrinkToFit="0" vertical="top" wrapText="1"/>
    </xf>
    <xf borderId="0" fillId="0" fontId="12" numFmtId="167" xfId="0" applyAlignment="1" applyFont="1" applyNumberFormat="1">
      <alignment shrinkToFit="0" vertical="top" wrapText="1"/>
    </xf>
    <xf borderId="1" fillId="0" fontId="12" numFmtId="165" xfId="0" applyAlignment="1" applyBorder="1" applyFont="1" applyNumberFormat="1">
      <alignment shrinkToFit="0" vertical="top" wrapText="1"/>
    </xf>
    <xf borderId="1" fillId="0" fontId="12" numFmtId="167" xfId="0" applyAlignment="1" applyBorder="1" applyFont="1" applyNumberFormat="1">
      <alignment shrinkToFit="0" vertical="top" wrapText="1"/>
    </xf>
    <xf borderId="6" fillId="0" fontId="12" numFmtId="165" xfId="0" applyAlignment="1" applyBorder="1" applyFont="1" applyNumberFormat="1">
      <alignment shrinkToFit="0" vertical="top" wrapText="1"/>
    </xf>
    <xf borderId="6" fillId="0" fontId="12" numFmtId="167" xfId="0" applyAlignment="1" applyBorder="1" applyFont="1" applyNumberFormat="1">
      <alignment shrinkToFit="0" vertical="top" wrapText="1"/>
    </xf>
    <xf borderId="0" fillId="8" fontId="13" numFmtId="0" xfId="0" applyAlignment="1" applyFont="1">
      <alignment shrinkToFit="0" vertical="top" wrapText="1"/>
    </xf>
    <xf borderId="7" fillId="0" fontId="12" numFmtId="0" xfId="0" applyAlignment="1" applyBorder="1" applyFont="1">
      <alignment shrinkToFit="0" vertical="top" wrapText="1"/>
    </xf>
    <xf borderId="1" fillId="8" fontId="13" numFmtId="165" xfId="0" applyAlignment="1" applyBorder="1" applyFont="1" applyNumberFormat="1">
      <alignment shrinkToFit="0" vertical="top" wrapText="1"/>
    </xf>
    <xf borderId="6" fillId="0" fontId="15" numFmtId="164" xfId="0" applyAlignment="1" applyBorder="1" applyFont="1" applyNumberFormat="1">
      <alignment shrinkToFit="0" vertical="top" wrapText="1"/>
    </xf>
    <xf borderId="3" fillId="0" fontId="12" numFmtId="166" xfId="0" applyAlignment="1" applyBorder="1" applyFont="1" applyNumberFormat="1">
      <alignment shrinkToFit="0" vertical="top" wrapText="1"/>
    </xf>
    <xf borderId="3" fillId="0" fontId="12" numFmtId="164" xfId="0" applyAlignment="1" applyBorder="1" applyFont="1" applyNumberFormat="1">
      <alignment shrinkToFit="0" vertical="top" wrapText="1"/>
    </xf>
    <xf borderId="6" fillId="8" fontId="13" numFmtId="165" xfId="0" applyAlignment="1" applyBorder="1" applyFont="1" applyNumberFormat="1">
      <alignment shrinkToFit="0" vertical="top" wrapText="1"/>
    </xf>
    <xf borderId="0" fillId="0" fontId="9" numFmtId="0" xfId="0" applyAlignment="1" applyFont="1">
      <alignment shrinkToFit="0" vertical="top" wrapText="1"/>
    </xf>
    <xf borderId="1" fillId="0" fontId="12" numFmtId="169" xfId="0" applyAlignment="1" applyBorder="1" applyFont="1" applyNumberFormat="1">
      <alignment shrinkToFit="0" vertical="top" wrapText="1"/>
    </xf>
    <xf borderId="3" fillId="0" fontId="12" numFmtId="169" xfId="0" applyAlignment="1" applyBorder="1" applyFont="1" applyNumberFormat="1">
      <alignment shrinkToFit="0" vertical="top" wrapText="1"/>
    </xf>
    <xf borderId="6" fillId="0" fontId="12" numFmtId="169" xfId="0" applyAlignment="1" applyBorder="1" applyFont="1" applyNumberFormat="1">
      <alignment shrinkToFit="0" vertical="top" wrapText="1"/>
    </xf>
    <xf borderId="1" fillId="0" fontId="7" numFmtId="0" xfId="0" applyAlignment="1" applyBorder="1" applyFont="1">
      <alignment vertical="top"/>
    </xf>
    <xf borderId="1" fillId="0" fontId="4" numFmtId="0" xfId="0" applyAlignment="1" applyBorder="1" applyFont="1">
      <alignment vertical="top"/>
    </xf>
    <xf borderId="1" fillId="0" fontId="12" numFmtId="164" xfId="0" applyAlignment="1" applyBorder="1" applyFont="1" applyNumberFormat="1">
      <alignment shrinkToFit="0" vertical="top" wrapText="1"/>
    </xf>
    <xf borderId="3" fillId="0" fontId="7" numFmtId="0" xfId="0" applyAlignment="1" applyBorder="1" applyFont="1">
      <alignment vertical="top"/>
    </xf>
    <xf borderId="3" fillId="0" fontId="4" numFmtId="0" xfId="0" applyAlignment="1" applyBorder="1" applyFont="1">
      <alignment vertical="top"/>
    </xf>
    <xf borderId="6" fillId="0" fontId="7" numFmtId="0" xfId="0" applyAlignment="1" applyBorder="1" applyFont="1">
      <alignment vertical="top"/>
    </xf>
    <xf borderId="6" fillId="0" fontId="4" numFmtId="0" xfId="0" applyAlignment="1" applyBorder="1" applyFont="1">
      <alignment vertical="top"/>
    </xf>
    <xf borderId="6" fillId="0" fontId="12" numFmtId="164" xfId="0" applyAlignment="1" applyBorder="1" applyFont="1" applyNumberFormat="1">
      <alignment shrinkToFit="0" vertical="top" wrapText="1"/>
    </xf>
    <xf borderId="0" fillId="0" fontId="12" numFmtId="170" xfId="0" applyAlignment="1" applyFont="1" applyNumberFormat="1">
      <alignment shrinkToFit="0" vertical="top" wrapText="1"/>
    </xf>
    <xf borderId="0" fillId="0" fontId="7" numFmtId="0" xfId="0" applyAlignment="1" applyFont="1">
      <alignment vertical="top"/>
    </xf>
  </cellXfs>
  <cellStyles count="1">
    <cellStyle xfId="0" name="Normal" builtinId="0"/>
  </cellStyles>
  <dxfs count="4">
    <dxf>
      <font>
        <b/>
        <color rgb="FFB06000"/>
      </font>
      <fill>
        <patternFill patternType="solid">
          <fgColor rgb="FFFEF7E0"/>
          <bgColor rgb="FFFEF7E0"/>
        </patternFill>
      </fill>
      <border/>
    </dxf>
    <dxf>
      <font>
        <b/>
        <color rgb="FF5F6368"/>
      </font>
      <fill>
        <patternFill patternType="solid">
          <fgColor rgb="FFF1F3F4"/>
          <bgColor rgb="FFF1F3F4"/>
        </patternFill>
      </fill>
      <border/>
    </dxf>
    <dxf>
      <font>
        <b/>
        <color rgb="FF137333"/>
      </font>
      <fill>
        <patternFill patternType="solid">
          <fgColor rgb="FFE6F4EA"/>
          <bgColor rgb="FFE6F4EA"/>
        </patternFill>
      </fill>
      <border/>
    </dxf>
    <dxf>
      <font>
        <b/>
        <color rgb="FFC5221F"/>
      </font>
      <fill>
        <patternFill patternType="solid">
          <fgColor rgb="FFFCE8E6"/>
          <bgColor rgb="FFFCE8E6"/>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User" id="{b8053a75-b86c-4264-b977-118f2e6dac53}"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rlito"/>
        <a:ea typeface="Carlito"/>
        <a:cs typeface="Carlito"/>
      </a:majorFont>
      <a:minorFont>
        <a:latin typeface="Carlito"/>
        <a:ea typeface="Carlito"/>
        <a:cs typeface="Carli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5" dT="2026-07-25T06:44:28.00" personId="{b8053a75-b86c-4264-b977-118f2e6dac53}" id="{48da6304-4ed5-42de-91c9-cfecf45696f3}" done="0">
    <x18tc:text xml:space="preserve">Illustrative template assumption only. The public entity should select and document a jurisdiction-appropriate discount rate.</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5" dT="2026-07-25T06:44:28.00" personId="{b8053a75-b86c-4264-b977-118f2e6dac53}" id="{cf8f630a-4100-415c-a242-53fd1227c1dc}" done="0">
    <x18tc:text xml:space="preserve">Source S01: LBNL modelled US-average site WUE just over 0.36 L/kWh through 2023. Not a facility forecast.</x18tc:text>
  </x18tc:threadedComment>
  <x18tc:threadedComment ref="B6" dT="2026-07-25T06:44:28.00" personId="{b8053a75-b86c-4264-b977-118f2e6dac53}" id="{d3a9db07-1d97-4762-a335-18d3df35a598}" done="0">
    <x18tc:text xml:space="preserve">Source S04: AEP Ohio tariff benchmark. Other utilities and projects may require different minimum billing.</x18tc:text>
  </x18tc:threadedComment>
  <x18tc:threadedComment ref="B4" dT="2026-07-25T06:44:28.00" personId="{b8053a75-b86c-4264-b977-118f2e6dac53}" id="{6b10fdce-0d73-4e95-8ccc-6aae344251e2}" done="0">
    <x18tc:text xml:space="preserve">Illustrative load-factor sensitivity chosen for scale calculations. Replace with facility-specific hourly load evidence.</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6.xml"/><Relationship Id="rId5"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9.xml"/><Relationship Id="rId5"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1" width="15.75"/>
    <col customWidth="1" min="2" max="2" width="48.88"/>
    <col customWidth="1" min="3" max="3" width="28.88"/>
    <col customWidth="1" min="4" max="4" width="30.75"/>
  </cols>
  <sheetData>
    <row r="1" ht="30.0" customHeight="1">
      <c r="A1" s="2" t="s">
        <v>3</v>
      </c>
    </row>
    <row r="2" ht="39.0" customHeight="1">
      <c r="A2" s="5" t="s">
        <v>5</v>
      </c>
    </row>
    <row r="3">
      <c r="A3" s="6" t="s">
        <v>6</v>
      </c>
      <c r="B3" s="6" t="s">
        <v>6</v>
      </c>
      <c r="C3" s="6" t="s">
        <v>6</v>
      </c>
      <c r="D3" s="6" t="s">
        <v>6</v>
      </c>
    </row>
    <row r="4" ht="27.0" customHeight="1">
      <c r="A4" s="8" t="s">
        <v>10</v>
      </c>
      <c r="B4" s="8" t="s">
        <v>6</v>
      </c>
      <c r="C4" s="8" t="s">
        <v>6</v>
      </c>
      <c r="D4" s="8" t="s">
        <v>6</v>
      </c>
    </row>
    <row r="5" ht="27.0" customHeight="1">
      <c r="A5" s="6" t="s">
        <v>11</v>
      </c>
      <c r="B5" s="6" t="s">
        <v>6</v>
      </c>
      <c r="C5" s="6" t="s">
        <v>6</v>
      </c>
      <c r="D5" s="6" t="s">
        <v>6</v>
      </c>
    </row>
    <row r="6" ht="27.0" customHeight="1">
      <c r="A6" s="6" t="s">
        <v>14</v>
      </c>
      <c r="B6" s="6" t="s">
        <v>6</v>
      </c>
      <c r="C6" s="6" t="s">
        <v>6</v>
      </c>
      <c r="D6" s="6" t="s">
        <v>6</v>
      </c>
    </row>
    <row r="7" ht="27.0" customHeight="1">
      <c r="A7" s="6" t="s">
        <v>15</v>
      </c>
      <c r="B7" s="6" t="s">
        <v>6</v>
      </c>
      <c r="C7" s="6" t="s">
        <v>6</v>
      </c>
      <c r="D7" s="6" t="s">
        <v>6</v>
      </c>
    </row>
    <row r="8" ht="27.0" customHeight="1">
      <c r="A8" s="6" t="s">
        <v>16</v>
      </c>
      <c r="B8" s="6" t="s">
        <v>6</v>
      </c>
      <c r="C8" s="6" t="s">
        <v>6</v>
      </c>
      <c r="D8" s="6" t="s">
        <v>6</v>
      </c>
    </row>
    <row r="9" ht="27.0" customHeight="1">
      <c r="A9" s="6" t="s">
        <v>6</v>
      </c>
      <c r="B9" s="6" t="s">
        <v>6</v>
      </c>
      <c r="C9" s="6" t="s">
        <v>6</v>
      </c>
      <c r="D9" s="6" t="s">
        <v>6</v>
      </c>
    </row>
    <row r="10" ht="27.0" customHeight="1">
      <c r="A10" s="8" t="s">
        <v>18</v>
      </c>
      <c r="B10" s="8" t="s">
        <v>6</v>
      </c>
      <c r="C10" s="8" t="s">
        <v>6</v>
      </c>
      <c r="D10" s="8" t="s">
        <v>6</v>
      </c>
    </row>
    <row r="11" ht="27.0" customHeight="1">
      <c r="A11" s="13" t="s">
        <v>20</v>
      </c>
      <c r="B11" s="13" t="s">
        <v>23</v>
      </c>
      <c r="C11" s="13" t="s">
        <v>24</v>
      </c>
      <c r="D11" s="13" t="s">
        <v>26</v>
      </c>
    </row>
    <row r="12" ht="27.0" customHeight="1">
      <c r="A12" s="14" t="s">
        <v>28</v>
      </c>
      <c r="B12" s="6" t="s">
        <v>30</v>
      </c>
      <c r="C12" s="6" t="s">
        <v>31</v>
      </c>
      <c r="D12" s="6" t="s">
        <v>32</v>
      </c>
    </row>
    <row r="13" ht="27.0" customHeight="1">
      <c r="A13" s="14" t="s">
        <v>33</v>
      </c>
      <c r="B13" s="6" t="s">
        <v>34</v>
      </c>
      <c r="C13" s="6" t="s">
        <v>31</v>
      </c>
      <c r="D13" s="6" t="s">
        <v>36</v>
      </c>
    </row>
    <row r="14" ht="27.0" customHeight="1">
      <c r="A14" s="14" t="s">
        <v>38</v>
      </c>
      <c r="B14" s="6" t="s">
        <v>40</v>
      </c>
      <c r="C14" s="6" t="s">
        <v>42</v>
      </c>
      <c r="D14" s="6" t="s">
        <v>44</v>
      </c>
    </row>
    <row r="15" ht="27.0" customHeight="1">
      <c r="A15" s="14" t="s">
        <v>45</v>
      </c>
      <c r="B15" s="6" t="s">
        <v>49</v>
      </c>
      <c r="C15" s="6" t="s">
        <v>50</v>
      </c>
      <c r="D15" s="6" t="s">
        <v>51</v>
      </c>
    </row>
    <row r="16" ht="27.0" customHeight="1">
      <c r="A16" s="14" t="s">
        <v>53</v>
      </c>
      <c r="B16" s="6" t="s">
        <v>54</v>
      </c>
      <c r="C16" s="6" t="s">
        <v>55</v>
      </c>
      <c r="D16" s="6" t="s">
        <v>56</v>
      </c>
    </row>
    <row r="17" ht="27.0" customHeight="1">
      <c r="A17" s="14" t="s">
        <v>57</v>
      </c>
      <c r="B17" s="6" t="s">
        <v>58</v>
      </c>
      <c r="C17" s="6" t="s">
        <v>60</v>
      </c>
      <c r="D17" s="6" t="s">
        <v>61</v>
      </c>
    </row>
    <row r="18" ht="27.0" customHeight="1">
      <c r="A18" s="14" t="s">
        <v>63</v>
      </c>
      <c r="B18" s="6" t="s">
        <v>65</v>
      </c>
      <c r="C18" s="6" t="s">
        <v>66</v>
      </c>
      <c r="D18" s="6" t="s">
        <v>67</v>
      </c>
    </row>
    <row r="19" ht="27.0" customHeight="1">
      <c r="A19" s="14" t="s">
        <v>68</v>
      </c>
      <c r="B19" s="6" t="s">
        <v>69</v>
      </c>
      <c r="C19" s="6" t="s">
        <v>71</v>
      </c>
      <c r="D19" s="6" t="s">
        <v>73</v>
      </c>
    </row>
    <row r="20" ht="27.0" customHeight="1">
      <c r="A20" s="6" t="s">
        <v>6</v>
      </c>
      <c r="B20" s="6" t="s">
        <v>6</v>
      </c>
      <c r="C20" s="6" t="s">
        <v>6</v>
      </c>
      <c r="D20" s="6" t="s">
        <v>6</v>
      </c>
    </row>
    <row r="21" ht="27.0" customHeight="1">
      <c r="A21" s="8" t="s">
        <v>78</v>
      </c>
      <c r="B21" s="8" t="s">
        <v>6</v>
      </c>
      <c r="C21" s="8" t="s">
        <v>6</v>
      </c>
      <c r="D21" s="8" t="s">
        <v>6</v>
      </c>
    </row>
    <row r="22" ht="27.0" customHeight="1">
      <c r="A22" s="13" t="s">
        <v>83</v>
      </c>
      <c r="B22" s="13" t="s">
        <v>84</v>
      </c>
      <c r="C22" s="13" t="s">
        <v>88</v>
      </c>
      <c r="D22" s="13" t="s">
        <v>6</v>
      </c>
    </row>
    <row r="23" ht="27.0" customHeight="1">
      <c r="A23" s="6" t="s">
        <v>91</v>
      </c>
      <c r="B23" s="6" t="s">
        <v>92</v>
      </c>
      <c r="C23" s="6" t="s">
        <v>93</v>
      </c>
      <c r="D23" s="6" t="s">
        <v>6</v>
      </c>
    </row>
    <row r="24" ht="27.0" customHeight="1">
      <c r="A24" s="6" t="s">
        <v>95</v>
      </c>
      <c r="B24" s="6" t="s">
        <v>96</v>
      </c>
      <c r="C24" s="6" t="s">
        <v>98</v>
      </c>
      <c r="D24" s="6" t="s">
        <v>6</v>
      </c>
    </row>
    <row r="25" ht="27.0" customHeight="1">
      <c r="A25" s="6" t="s">
        <v>99</v>
      </c>
      <c r="B25" s="6" t="s">
        <v>101</v>
      </c>
      <c r="C25" s="6" t="s">
        <v>102</v>
      </c>
      <c r="D25" s="6" t="s">
        <v>6</v>
      </c>
    </row>
    <row r="26" ht="27.0" customHeight="1">
      <c r="A26" s="6" t="s">
        <v>106</v>
      </c>
      <c r="B26" s="6" t="s">
        <v>108</v>
      </c>
      <c r="C26" s="6" t="s">
        <v>109</v>
      </c>
      <c r="D26" s="6" t="s">
        <v>6</v>
      </c>
    </row>
    <row r="27" ht="27.0" customHeight="1">
      <c r="A27" s="6" t="s">
        <v>6</v>
      </c>
      <c r="B27" s="6" t="s">
        <v>6</v>
      </c>
      <c r="C27" s="6" t="s">
        <v>6</v>
      </c>
      <c r="D27" s="6" t="s">
        <v>6</v>
      </c>
    </row>
    <row r="28" ht="27.0" customHeight="1">
      <c r="A28" s="8" t="s">
        <v>113</v>
      </c>
      <c r="B28" s="8" t="s">
        <v>6</v>
      </c>
      <c r="C28" s="8" t="s">
        <v>6</v>
      </c>
      <c r="D28" s="8" t="s">
        <v>6</v>
      </c>
    </row>
    <row r="29" ht="27.0" customHeight="1">
      <c r="A29" s="13" t="s">
        <v>118</v>
      </c>
      <c r="B29" s="13" t="s">
        <v>120</v>
      </c>
      <c r="C29" s="13" t="s">
        <v>123</v>
      </c>
      <c r="D29" s="13" t="s">
        <v>6</v>
      </c>
    </row>
    <row r="30" ht="27.0" customHeight="1">
      <c r="A30" s="6" t="s">
        <v>124</v>
      </c>
      <c r="B30" s="6" t="s">
        <v>126</v>
      </c>
      <c r="C30" s="6" t="s">
        <v>127</v>
      </c>
      <c r="D30" s="6" t="s">
        <v>6</v>
      </c>
    </row>
    <row r="31" ht="27.0" customHeight="1">
      <c r="A31" s="6" t="s">
        <v>129</v>
      </c>
      <c r="B31" s="6" t="s">
        <v>131</v>
      </c>
      <c r="C31" s="6" t="s">
        <v>133</v>
      </c>
      <c r="D31" s="6" t="s">
        <v>6</v>
      </c>
    </row>
    <row r="32" ht="27.0" customHeight="1">
      <c r="A32" s="6" t="s">
        <v>135</v>
      </c>
      <c r="B32" s="6" t="s">
        <v>137</v>
      </c>
      <c r="C32" s="6" t="s">
        <v>138</v>
      </c>
      <c r="D32" s="6" t="s">
        <v>6</v>
      </c>
    </row>
    <row r="33" ht="27.0" customHeight="1">
      <c r="A33" s="6" t="s">
        <v>140</v>
      </c>
      <c r="B33" s="6" t="s">
        <v>142</v>
      </c>
      <c r="C33" s="6" t="s">
        <v>145</v>
      </c>
      <c r="D33" s="6" t="s">
        <v>6</v>
      </c>
    </row>
    <row r="34" ht="27.0" customHeight="1">
      <c r="A34" s="6" t="s">
        <v>147</v>
      </c>
      <c r="B34" s="6" t="s">
        <v>149</v>
      </c>
      <c r="C34" s="6" t="s">
        <v>150</v>
      </c>
      <c r="D34" s="6" t="s">
        <v>6</v>
      </c>
    </row>
    <row r="35" ht="27.0" customHeight="1">
      <c r="A35" s="6" t="s">
        <v>6</v>
      </c>
      <c r="B35" s="6" t="s">
        <v>6</v>
      </c>
      <c r="C35" s="6" t="s">
        <v>6</v>
      </c>
      <c r="D35" s="6" t="s">
        <v>6</v>
      </c>
    </row>
    <row r="36" ht="27.0" customHeight="1">
      <c r="A36" s="8" t="s">
        <v>155</v>
      </c>
      <c r="B36" s="8" t="s">
        <v>6</v>
      </c>
      <c r="C36" s="8" t="s">
        <v>6</v>
      </c>
      <c r="D36" s="8" t="s">
        <v>6</v>
      </c>
    </row>
    <row r="37" ht="27.0" customHeight="1">
      <c r="A37" s="6" t="s">
        <v>161</v>
      </c>
      <c r="B37" s="6" t="s">
        <v>6</v>
      </c>
      <c r="C37" s="6" t="s">
        <v>6</v>
      </c>
      <c r="D37" s="6" t="s">
        <v>6</v>
      </c>
    </row>
    <row r="38" ht="27.0" customHeight="1">
      <c r="A38" s="6" t="s">
        <v>164</v>
      </c>
      <c r="B38" s="6" t="s">
        <v>6</v>
      </c>
      <c r="C38" s="6" t="s">
        <v>6</v>
      </c>
      <c r="D38" s="6" t="s">
        <v>6</v>
      </c>
    </row>
    <row r="39" ht="27.0" customHeight="1">
      <c r="A39" s="6" t="s">
        <v>169</v>
      </c>
      <c r="B39" s="6" t="s">
        <v>6</v>
      </c>
      <c r="C39" s="6" t="s">
        <v>6</v>
      </c>
      <c r="D39" s="6" t="s">
        <v>6</v>
      </c>
    </row>
    <row r="40" ht="27.0" customHeight="1">
      <c r="A40" s="6" t="s">
        <v>172</v>
      </c>
      <c r="B40" s="6" t="s">
        <v>6</v>
      </c>
      <c r="C40" s="6" t="s">
        <v>6</v>
      </c>
      <c r="D40" s="6" t="s">
        <v>6</v>
      </c>
    </row>
  </sheetData>
  <mergeCells count="2">
    <mergeCell ref="A1:D1"/>
    <mergeCell ref="A2:D2"/>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0.0"/>
    <col customWidth="1" min="2" max="2" width="28.0"/>
    <col customWidth="1" min="3" max="3" width="53.0"/>
    <col customWidth="1" min="4" max="4" width="12.0"/>
    <col customWidth="1" min="5" max="5" width="34.0"/>
    <col customWidth="1" min="6" max="6" width="39.0"/>
    <col customWidth="1" min="7" max="7" width="17.0"/>
    <col customWidth="1" min="8" max="8" width="23.0"/>
    <col customWidth="1" min="9" max="9" width="17.0"/>
    <col customWidth="1" min="10" max="10" width="31.0"/>
    <col customWidth="1" min="11" max="11" width="34.0"/>
    <col customWidth="1" min="12" max="26" width="8.63"/>
  </cols>
  <sheetData>
    <row r="1" ht="30.0" customHeight="1">
      <c r="A1" s="1" t="s">
        <v>430</v>
      </c>
    </row>
    <row r="2" ht="27.75" customHeight="1">
      <c r="A2" s="3" t="s">
        <v>431</v>
      </c>
    </row>
    <row r="3">
      <c r="A3" s="4"/>
      <c r="B3" s="4"/>
      <c r="C3" s="4"/>
      <c r="D3" s="4"/>
      <c r="E3" s="4"/>
      <c r="F3" s="4"/>
      <c r="G3" s="4"/>
      <c r="H3" s="4"/>
      <c r="I3" s="4"/>
      <c r="J3" s="4"/>
      <c r="K3" s="4"/>
    </row>
    <row r="4">
      <c r="A4" s="12" t="s">
        <v>434</v>
      </c>
      <c r="B4" s="12" t="s">
        <v>435</v>
      </c>
      <c r="C4" s="12" t="s">
        <v>436</v>
      </c>
      <c r="D4" s="12" t="s">
        <v>437</v>
      </c>
      <c r="E4" s="4"/>
      <c r="F4" s="4"/>
      <c r="G4" s="4"/>
      <c r="H4" s="4"/>
      <c r="I4" s="4"/>
      <c r="J4" s="4"/>
      <c r="K4" s="4"/>
    </row>
    <row r="5">
      <c r="A5" s="64">
        <f>COUNTIF(D8:D23,"Yes")</f>
        <v>16</v>
      </c>
      <c r="B5" s="64">
        <f>COUNTIF(G8:G23,"Executed")</f>
        <v>0</v>
      </c>
      <c r="C5" s="64">
        <f>COUNTIF(G8:G23,"Breached")+COUNTIF(G8:G23,"Not drafted")+COUNTIF(G8:G23,"Drafted")+COUNTIF(G8:G23,"Agreed")</f>
        <v>16</v>
      </c>
      <c r="D5" s="64" t="str">
        <f>IF(B5=A5,"COMPLETE","INCOMPLETE")</f>
        <v>INCOMPLETE</v>
      </c>
      <c r="E5" s="4"/>
      <c r="F5" s="4"/>
      <c r="G5" s="4"/>
      <c r="H5" s="4"/>
      <c r="I5" s="4"/>
      <c r="J5" s="4"/>
      <c r="K5" s="4"/>
    </row>
    <row r="6">
      <c r="A6" s="4"/>
      <c r="B6" s="4"/>
      <c r="C6" s="4"/>
      <c r="D6" s="4"/>
      <c r="E6" s="4"/>
      <c r="F6" s="4"/>
      <c r="G6" s="4"/>
      <c r="H6" s="4"/>
      <c r="I6" s="4"/>
      <c r="J6" s="4"/>
      <c r="K6" s="4"/>
    </row>
    <row r="7">
      <c r="A7" s="12" t="s">
        <v>448</v>
      </c>
      <c r="B7" s="12" t="s">
        <v>449</v>
      </c>
      <c r="C7" s="12" t="s">
        <v>450</v>
      </c>
      <c r="D7" s="12" t="s">
        <v>297</v>
      </c>
      <c r="E7" s="12" t="s">
        <v>451</v>
      </c>
      <c r="F7" s="12" t="s">
        <v>452</v>
      </c>
      <c r="G7" s="12" t="s">
        <v>77</v>
      </c>
      <c r="H7" s="12" t="s">
        <v>453</v>
      </c>
      <c r="I7" s="12" t="s">
        <v>454</v>
      </c>
      <c r="J7" s="12" t="s">
        <v>455</v>
      </c>
      <c r="K7" s="12" t="s">
        <v>398</v>
      </c>
    </row>
    <row r="8">
      <c r="A8" s="15" t="s">
        <v>456</v>
      </c>
      <c r="B8" s="15" t="s">
        <v>457</v>
      </c>
      <c r="C8" s="15" t="s">
        <v>458</v>
      </c>
      <c r="D8" s="17" t="s">
        <v>305</v>
      </c>
      <c r="E8" s="15" t="s">
        <v>459</v>
      </c>
      <c r="F8" s="15" t="s">
        <v>460</v>
      </c>
      <c r="G8" s="17" t="s">
        <v>461</v>
      </c>
      <c r="H8" s="17"/>
      <c r="I8" s="17"/>
      <c r="J8" s="17"/>
      <c r="K8" s="17"/>
    </row>
    <row r="9">
      <c r="A9" s="20" t="s">
        <v>463</v>
      </c>
      <c r="B9" s="20" t="s">
        <v>464</v>
      </c>
      <c r="C9" s="20" t="s">
        <v>465</v>
      </c>
      <c r="D9" s="21" t="s">
        <v>305</v>
      </c>
      <c r="E9" s="20" t="s">
        <v>466</v>
      </c>
      <c r="F9" s="20" t="s">
        <v>467</v>
      </c>
      <c r="G9" s="21" t="s">
        <v>461</v>
      </c>
      <c r="H9" s="21"/>
      <c r="I9" s="21"/>
      <c r="J9" s="21"/>
      <c r="K9" s="21"/>
    </row>
    <row r="10">
      <c r="A10" s="20" t="s">
        <v>468</v>
      </c>
      <c r="B10" s="20" t="s">
        <v>469</v>
      </c>
      <c r="C10" s="20" t="s">
        <v>470</v>
      </c>
      <c r="D10" s="21" t="s">
        <v>305</v>
      </c>
      <c r="E10" s="20" t="s">
        <v>472</v>
      </c>
      <c r="F10" s="20" t="s">
        <v>473</v>
      </c>
      <c r="G10" s="21" t="s">
        <v>461</v>
      </c>
      <c r="H10" s="21"/>
      <c r="I10" s="21"/>
      <c r="J10" s="21"/>
      <c r="K10" s="21"/>
    </row>
    <row r="11">
      <c r="A11" s="20" t="s">
        <v>475</v>
      </c>
      <c r="B11" s="20" t="s">
        <v>476</v>
      </c>
      <c r="C11" s="20" t="s">
        <v>477</v>
      </c>
      <c r="D11" s="21" t="s">
        <v>305</v>
      </c>
      <c r="E11" s="20" t="s">
        <v>479</v>
      </c>
      <c r="F11" s="20" t="s">
        <v>480</v>
      </c>
      <c r="G11" s="21" t="s">
        <v>461</v>
      </c>
      <c r="H11" s="21"/>
      <c r="I11" s="21"/>
      <c r="J11" s="21"/>
      <c r="K11" s="21"/>
    </row>
    <row r="12">
      <c r="A12" s="20" t="s">
        <v>482</v>
      </c>
      <c r="B12" s="20" t="s">
        <v>485</v>
      </c>
      <c r="C12" s="20" t="s">
        <v>486</v>
      </c>
      <c r="D12" s="21" t="s">
        <v>305</v>
      </c>
      <c r="E12" s="20" t="s">
        <v>487</v>
      </c>
      <c r="F12" s="20" t="s">
        <v>488</v>
      </c>
      <c r="G12" s="21" t="s">
        <v>461</v>
      </c>
      <c r="H12" s="21"/>
      <c r="I12" s="21"/>
      <c r="J12" s="21"/>
      <c r="K12" s="21"/>
    </row>
    <row r="13">
      <c r="A13" s="20" t="s">
        <v>490</v>
      </c>
      <c r="B13" s="20" t="s">
        <v>491</v>
      </c>
      <c r="C13" s="20" t="s">
        <v>492</v>
      </c>
      <c r="D13" s="21" t="s">
        <v>305</v>
      </c>
      <c r="E13" s="20" t="s">
        <v>493</v>
      </c>
      <c r="F13" s="20" t="s">
        <v>494</v>
      </c>
      <c r="G13" s="21" t="s">
        <v>461</v>
      </c>
      <c r="H13" s="21"/>
      <c r="I13" s="21"/>
      <c r="J13" s="21"/>
      <c r="K13" s="21"/>
    </row>
    <row r="14">
      <c r="A14" s="20" t="s">
        <v>495</v>
      </c>
      <c r="B14" s="20" t="s">
        <v>496</v>
      </c>
      <c r="C14" s="20" t="s">
        <v>498</v>
      </c>
      <c r="D14" s="21" t="s">
        <v>305</v>
      </c>
      <c r="E14" s="20" t="s">
        <v>502</v>
      </c>
      <c r="F14" s="20" t="s">
        <v>504</v>
      </c>
      <c r="G14" s="21" t="s">
        <v>461</v>
      </c>
      <c r="H14" s="21"/>
      <c r="I14" s="21"/>
      <c r="J14" s="21"/>
      <c r="K14" s="21"/>
    </row>
    <row r="15">
      <c r="A15" s="20" t="s">
        <v>511</v>
      </c>
      <c r="B15" s="20" t="s">
        <v>513</v>
      </c>
      <c r="C15" s="20" t="s">
        <v>516</v>
      </c>
      <c r="D15" s="21" t="s">
        <v>305</v>
      </c>
      <c r="E15" s="20" t="s">
        <v>520</v>
      </c>
      <c r="F15" s="20" t="s">
        <v>521</v>
      </c>
      <c r="G15" s="21" t="s">
        <v>461</v>
      </c>
      <c r="H15" s="21"/>
      <c r="I15" s="21"/>
      <c r="J15" s="21"/>
      <c r="K15" s="21"/>
    </row>
    <row r="16">
      <c r="A16" s="20" t="s">
        <v>524</v>
      </c>
      <c r="B16" s="20" t="s">
        <v>525</v>
      </c>
      <c r="C16" s="20" t="s">
        <v>526</v>
      </c>
      <c r="D16" s="21" t="s">
        <v>305</v>
      </c>
      <c r="E16" s="20" t="s">
        <v>527</v>
      </c>
      <c r="F16" s="20" t="s">
        <v>528</v>
      </c>
      <c r="G16" s="21" t="s">
        <v>461</v>
      </c>
      <c r="H16" s="21"/>
      <c r="I16" s="21"/>
      <c r="J16" s="21"/>
      <c r="K16" s="21"/>
    </row>
    <row r="17">
      <c r="A17" s="20" t="s">
        <v>529</v>
      </c>
      <c r="B17" s="20" t="s">
        <v>530</v>
      </c>
      <c r="C17" s="20" t="s">
        <v>531</v>
      </c>
      <c r="D17" s="21" t="s">
        <v>305</v>
      </c>
      <c r="E17" s="20" t="s">
        <v>532</v>
      </c>
      <c r="F17" s="20" t="s">
        <v>534</v>
      </c>
      <c r="G17" s="21" t="s">
        <v>461</v>
      </c>
      <c r="H17" s="21"/>
      <c r="I17" s="21"/>
      <c r="J17" s="21"/>
      <c r="K17" s="21"/>
    </row>
    <row r="18">
      <c r="A18" s="20" t="s">
        <v>535</v>
      </c>
      <c r="B18" s="20" t="s">
        <v>536</v>
      </c>
      <c r="C18" s="20" t="s">
        <v>537</v>
      </c>
      <c r="D18" s="21" t="s">
        <v>305</v>
      </c>
      <c r="E18" s="20" t="s">
        <v>539</v>
      </c>
      <c r="F18" s="20" t="s">
        <v>541</v>
      </c>
      <c r="G18" s="21" t="s">
        <v>461</v>
      </c>
      <c r="H18" s="21"/>
      <c r="I18" s="21"/>
      <c r="J18" s="21"/>
      <c r="K18" s="21"/>
    </row>
    <row r="19">
      <c r="A19" s="20" t="s">
        <v>544</v>
      </c>
      <c r="B19" s="20" t="s">
        <v>545</v>
      </c>
      <c r="C19" s="20" t="s">
        <v>546</v>
      </c>
      <c r="D19" s="21" t="s">
        <v>305</v>
      </c>
      <c r="E19" s="20" t="s">
        <v>547</v>
      </c>
      <c r="F19" s="20" t="s">
        <v>548</v>
      </c>
      <c r="G19" s="21" t="s">
        <v>461</v>
      </c>
      <c r="H19" s="21"/>
      <c r="I19" s="21"/>
      <c r="J19" s="21"/>
      <c r="K19" s="21"/>
    </row>
    <row r="20">
      <c r="A20" s="20" t="s">
        <v>551</v>
      </c>
      <c r="B20" s="20" t="s">
        <v>552</v>
      </c>
      <c r="C20" s="20" t="s">
        <v>554</v>
      </c>
      <c r="D20" s="21" t="s">
        <v>305</v>
      </c>
      <c r="E20" s="20" t="s">
        <v>555</v>
      </c>
      <c r="F20" s="20" t="s">
        <v>556</v>
      </c>
      <c r="G20" s="21" t="s">
        <v>461</v>
      </c>
      <c r="H20" s="21"/>
      <c r="I20" s="21"/>
      <c r="J20" s="21"/>
      <c r="K20" s="21"/>
    </row>
    <row r="21" ht="15.75" customHeight="1">
      <c r="A21" s="20" t="s">
        <v>558</v>
      </c>
      <c r="B21" s="20" t="s">
        <v>560</v>
      </c>
      <c r="C21" s="20" t="s">
        <v>562</v>
      </c>
      <c r="D21" s="21" t="s">
        <v>305</v>
      </c>
      <c r="E21" s="20" t="s">
        <v>563</v>
      </c>
      <c r="F21" s="20" t="s">
        <v>564</v>
      </c>
      <c r="G21" s="21" t="s">
        <v>461</v>
      </c>
      <c r="H21" s="21"/>
      <c r="I21" s="21"/>
      <c r="J21" s="21"/>
      <c r="K21" s="21"/>
    </row>
    <row r="22" ht="15.75" customHeight="1">
      <c r="A22" s="20" t="s">
        <v>566</v>
      </c>
      <c r="B22" s="20" t="s">
        <v>567</v>
      </c>
      <c r="C22" s="20" t="s">
        <v>569</v>
      </c>
      <c r="D22" s="21" t="s">
        <v>305</v>
      </c>
      <c r="E22" s="20" t="s">
        <v>571</v>
      </c>
      <c r="F22" s="20" t="s">
        <v>573</v>
      </c>
      <c r="G22" s="21" t="s">
        <v>461</v>
      </c>
      <c r="H22" s="21"/>
      <c r="I22" s="21"/>
      <c r="J22" s="21"/>
      <c r="K22" s="21"/>
    </row>
    <row r="23" ht="15.75" customHeight="1">
      <c r="A23" s="18" t="s">
        <v>574</v>
      </c>
      <c r="B23" s="18" t="s">
        <v>575</v>
      </c>
      <c r="C23" s="18" t="s">
        <v>576</v>
      </c>
      <c r="D23" s="26" t="s">
        <v>305</v>
      </c>
      <c r="E23" s="18" t="s">
        <v>555</v>
      </c>
      <c r="F23" s="18" t="s">
        <v>577</v>
      </c>
      <c r="G23" s="26" t="s">
        <v>461</v>
      </c>
      <c r="H23" s="26"/>
      <c r="I23" s="26"/>
      <c r="J23" s="26"/>
      <c r="K23" s="26"/>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K1"/>
    <mergeCell ref="A2:K2"/>
  </mergeCells>
  <conditionalFormatting sqref="D5">
    <cfRule type="containsText" dxfId="0" priority="1" operator="containsText" text="INCOMPLETE">
      <formula>NOT(ISERROR(SEARCH(("INCOMPLETE"),(D5))))</formula>
    </cfRule>
  </conditionalFormatting>
  <conditionalFormatting sqref="D5">
    <cfRule type="containsText" dxfId="2" priority="2" operator="containsText" text="COMPLETE">
      <formula>NOT(ISERROR(SEARCH(("COMPLETE"),(D5))))</formula>
    </cfRule>
  </conditionalFormatting>
  <conditionalFormatting sqref="G8:G23">
    <cfRule type="containsText" dxfId="1" priority="3" operator="containsText" text="Not drafted">
      <formula>NOT(ISERROR(SEARCH(("Not drafted"),(G8))))</formula>
    </cfRule>
  </conditionalFormatting>
  <conditionalFormatting sqref="G8:G23">
    <cfRule type="containsText" dxfId="2" priority="4" operator="containsText" text="Executed">
      <formula>NOT(ISERROR(SEARCH(("Executed"),(G8))))</formula>
    </cfRule>
  </conditionalFormatting>
  <conditionalFormatting sqref="G8:G23">
    <cfRule type="containsText" dxfId="3" priority="5" operator="containsText" text="Breached">
      <formula>NOT(ISERROR(SEARCH(("Breached"),(G8))))</formula>
    </cfRule>
  </conditionalFormatting>
  <conditionalFormatting sqref="G8:G23">
    <cfRule type="containsText" dxfId="0" priority="6" operator="containsText" text="Drafted">
      <formula>NOT(ISERROR(SEARCH(("Drafted"),(G8))))</formula>
    </cfRule>
  </conditionalFormatting>
  <conditionalFormatting sqref="G8:G23">
    <cfRule type="containsText" dxfId="0" priority="7" operator="containsText" text="Agreed">
      <formula>NOT(ISERROR(SEARCH(("Agreed"),(G8))))</formula>
    </cfRule>
  </conditionalFormatting>
  <dataValidations>
    <dataValidation type="list" allowBlank="1" sqref="G8:G23">
      <formula1>"Not drafted,Drafted,Agreed,Executed,Breached,Not applicable"</formula1>
    </dataValidation>
    <dataValidation type="list" allowBlank="1" sqref="D8:D23">
      <formula1>"Yes,No"</formula1>
    </dataValidation>
  </dataValidation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0.0"/>
    <col customWidth="1" min="2" max="2" width="39.0"/>
    <col customWidth="1" min="3" max="3" width="13.0"/>
    <col customWidth="1" min="4" max="4" width="14.0"/>
    <col customWidth="1" min="5" max="5" width="20.0"/>
    <col customWidth="1" min="6" max="6" width="18.0"/>
    <col customWidth="1" min="7" max="8" width="17.0"/>
    <col customWidth="1" min="9" max="9" width="16.0"/>
    <col customWidth="1" min="10" max="10" width="26.0"/>
    <col customWidth="1" min="11" max="11" width="32.0"/>
    <col customWidth="1" min="12" max="12" width="34.0"/>
    <col customWidth="1" min="13" max="26" width="8.63"/>
  </cols>
  <sheetData>
    <row r="1" ht="30.0" customHeight="1">
      <c r="A1" s="1" t="s">
        <v>474</v>
      </c>
    </row>
    <row r="2" ht="27.75" customHeight="1">
      <c r="A2" s="3" t="s">
        <v>478</v>
      </c>
    </row>
    <row r="3">
      <c r="A3" s="4"/>
      <c r="B3" s="4"/>
      <c r="C3" s="4"/>
      <c r="D3" s="4"/>
      <c r="E3" s="4"/>
      <c r="F3" s="4"/>
      <c r="G3" s="4"/>
      <c r="H3" s="4"/>
      <c r="I3" s="4"/>
      <c r="J3" s="4"/>
      <c r="K3" s="4"/>
      <c r="L3" s="4"/>
    </row>
    <row r="4">
      <c r="A4" s="12" t="s">
        <v>481</v>
      </c>
      <c r="B4" s="69">
        <v>1.0</v>
      </c>
      <c r="C4" s="12" t="s">
        <v>483</v>
      </c>
      <c r="D4" s="42" t="str">
        <f>IF(COUNTIF(H8:H27,"BREACH")&gt;0,"BREACH",IF(COUNTIF(H8:H27,"NOT REPORTED")&gt;0,"INCOMPLETE","COMPLIANT"))</f>
        <v>INCOMPLETE</v>
      </c>
      <c r="E4" s="4"/>
      <c r="F4" s="4"/>
      <c r="G4" s="4"/>
      <c r="H4" s="4"/>
      <c r="I4" s="4"/>
      <c r="J4" s="4"/>
      <c r="K4" s="4"/>
      <c r="L4" s="4"/>
    </row>
    <row r="5">
      <c r="A5" s="4"/>
      <c r="B5" s="4"/>
      <c r="C5" s="4"/>
      <c r="D5" s="4"/>
      <c r="E5" s="4"/>
      <c r="F5" s="4"/>
      <c r="G5" s="4"/>
      <c r="H5" s="4"/>
      <c r="I5" s="4"/>
      <c r="J5" s="4"/>
      <c r="K5" s="4"/>
      <c r="L5" s="4"/>
    </row>
    <row r="6">
      <c r="A6" s="4"/>
      <c r="B6" s="4"/>
      <c r="C6" s="4"/>
      <c r="D6" s="4"/>
      <c r="E6" s="4"/>
      <c r="F6" s="4"/>
      <c r="G6" s="4"/>
      <c r="H6" s="4"/>
      <c r="I6" s="4"/>
      <c r="J6" s="4"/>
      <c r="K6" s="4"/>
      <c r="L6" s="4"/>
    </row>
    <row r="7">
      <c r="A7" s="12" t="s">
        <v>220</v>
      </c>
      <c r="B7" s="12" t="s">
        <v>497</v>
      </c>
      <c r="C7" s="12" t="s">
        <v>500</v>
      </c>
      <c r="D7" s="12" t="s">
        <v>501</v>
      </c>
      <c r="E7" s="12" t="s">
        <v>503</v>
      </c>
      <c r="F7" s="12" t="s">
        <v>505</v>
      </c>
      <c r="G7" s="12" t="s">
        <v>506</v>
      </c>
      <c r="H7" s="12" t="s">
        <v>77</v>
      </c>
      <c r="I7" s="12" t="s">
        <v>301</v>
      </c>
      <c r="J7" s="12" t="s">
        <v>508</v>
      </c>
      <c r="K7" s="12" t="s">
        <v>510</v>
      </c>
      <c r="L7" s="12" t="s">
        <v>398</v>
      </c>
    </row>
    <row r="8">
      <c r="A8" s="15" t="s">
        <v>515</v>
      </c>
      <c r="B8" s="15" t="s">
        <v>517</v>
      </c>
      <c r="C8" s="15" t="s">
        <v>518</v>
      </c>
      <c r="D8" s="17" t="s">
        <v>522</v>
      </c>
      <c r="E8" s="71"/>
      <c r="F8" s="71"/>
      <c r="G8" s="65" t="str">
        <f t="shared" ref="G8:G27" si="1">IF(OR(E8="",F8=""),"",F8-E8)</f>
        <v/>
      </c>
      <c r="H8" s="15" t="str">
        <f t="shared" ref="H8:H27" si="2">IF(OR(E8="",F8=""),"NOT REPORTED",IF(D8="At least",IF(F8&gt;=E8,"COMPLIANT","BREACH"),IF(D8="At most",IF(F8&lt;=E8,"COMPLIANT","BREACH"),"REVIEW")))</f>
        <v>NOT REPORTED</v>
      </c>
      <c r="I8" s="17" t="s">
        <v>106</v>
      </c>
      <c r="J8" s="17"/>
      <c r="K8" s="17"/>
      <c r="L8" s="17"/>
    </row>
    <row r="9">
      <c r="A9" s="20" t="s">
        <v>538</v>
      </c>
      <c r="B9" s="20" t="s">
        <v>540</v>
      </c>
      <c r="C9" s="20" t="s">
        <v>542</v>
      </c>
      <c r="D9" s="21" t="s">
        <v>522</v>
      </c>
      <c r="E9" s="33"/>
      <c r="F9" s="33"/>
      <c r="G9" s="57" t="str">
        <f t="shared" si="1"/>
        <v/>
      </c>
      <c r="H9" s="20" t="str">
        <f t="shared" si="2"/>
        <v>NOT REPORTED</v>
      </c>
      <c r="I9" s="21" t="s">
        <v>106</v>
      </c>
      <c r="J9" s="21"/>
      <c r="K9" s="21"/>
      <c r="L9" s="21"/>
    </row>
    <row r="10">
      <c r="A10" s="20" t="s">
        <v>549</v>
      </c>
      <c r="B10" s="20" t="s">
        <v>550</v>
      </c>
      <c r="C10" s="20" t="s">
        <v>518</v>
      </c>
      <c r="D10" s="21" t="s">
        <v>553</v>
      </c>
      <c r="E10" s="33"/>
      <c r="F10" s="33"/>
      <c r="G10" s="57" t="str">
        <f t="shared" si="1"/>
        <v/>
      </c>
      <c r="H10" s="20" t="str">
        <f t="shared" si="2"/>
        <v>NOT REPORTED</v>
      </c>
      <c r="I10" s="21" t="s">
        <v>106</v>
      </c>
      <c r="J10" s="21"/>
      <c r="K10" s="21"/>
      <c r="L10" s="21"/>
    </row>
    <row r="11">
      <c r="A11" s="20" t="s">
        <v>559</v>
      </c>
      <c r="B11" s="20" t="s">
        <v>561</v>
      </c>
      <c r="C11" s="20" t="s">
        <v>518</v>
      </c>
      <c r="D11" s="21" t="s">
        <v>553</v>
      </c>
      <c r="E11" s="33"/>
      <c r="F11" s="33"/>
      <c r="G11" s="57" t="str">
        <f t="shared" si="1"/>
        <v/>
      </c>
      <c r="H11" s="20" t="str">
        <f t="shared" si="2"/>
        <v>NOT REPORTED</v>
      </c>
      <c r="I11" s="21" t="s">
        <v>106</v>
      </c>
      <c r="J11" s="21"/>
      <c r="K11" s="21"/>
      <c r="L11" s="21"/>
    </row>
    <row r="12">
      <c r="A12" s="20" t="s">
        <v>568</v>
      </c>
      <c r="B12" s="20" t="s">
        <v>570</v>
      </c>
      <c r="C12" s="20" t="s">
        <v>572</v>
      </c>
      <c r="D12" s="21" t="s">
        <v>522</v>
      </c>
      <c r="E12" s="33"/>
      <c r="F12" s="33"/>
      <c r="G12" s="57" t="str">
        <f t="shared" si="1"/>
        <v/>
      </c>
      <c r="H12" s="20" t="str">
        <f t="shared" si="2"/>
        <v>NOT REPORTED</v>
      </c>
      <c r="I12" s="21" t="s">
        <v>106</v>
      </c>
      <c r="J12" s="21"/>
      <c r="K12" s="21"/>
      <c r="L12" s="21"/>
    </row>
    <row r="13">
      <c r="A13" s="20" t="s">
        <v>578</v>
      </c>
      <c r="B13" s="20" t="s">
        <v>579</v>
      </c>
      <c r="C13" s="20" t="s">
        <v>580</v>
      </c>
      <c r="D13" s="21" t="s">
        <v>522</v>
      </c>
      <c r="E13" s="33"/>
      <c r="F13" s="33"/>
      <c r="G13" s="57" t="str">
        <f t="shared" si="1"/>
        <v/>
      </c>
      <c r="H13" s="20" t="str">
        <f t="shared" si="2"/>
        <v>NOT REPORTED</v>
      </c>
      <c r="I13" s="21" t="s">
        <v>106</v>
      </c>
      <c r="J13" s="21"/>
      <c r="K13" s="21"/>
      <c r="L13" s="21"/>
    </row>
    <row r="14">
      <c r="A14" s="20" t="s">
        <v>581</v>
      </c>
      <c r="B14" s="20" t="s">
        <v>582</v>
      </c>
      <c r="C14" s="20" t="s">
        <v>583</v>
      </c>
      <c r="D14" s="21" t="s">
        <v>522</v>
      </c>
      <c r="E14" s="33"/>
      <c r="F14" s="33"/>
      <c r="G14" s="57" t="str">
        <f t="shared" si="1"/>
        <v/>
      </c>
      <c r="H14" s="20" t="str">
        <f t="shared" si="2"/>
        <v>NOT REPORTED</v>
      </c>
      <c r="I14" s="21" t="s">
        <v>106</v>
      </c>
      <c r="J14" s="21"/>
      <c r="K14" s="21"/>
      <c r="L14" s="21"/>
    </row>
    <row r="15">
      <c r="A15" s="20" t="s">
        <v>584</v>
      </c>
      <c r="B15" s="20" t="s">
        <v>219</v>
      </c>
      <c r="C15" s="20" t="s">
        <v>585</v>
      </c>
      <c r="D15" s="21" t="s">
        <v>553</v>
      </c>
      <c r="E15" s="38"/>
      <c r="F15" s="38"/>
      <c r="G15" s="73" t="str">
        <f t="shared" si="1"/>
        <v/>
      </c>
      <c r="H15" s="20" t="str">
        <f t="shared" si="2"/>
        <v>NOT REPORTED</v>
      </c>
      <c r="I15" s="21" t="s">
        <v>106</v>
      </c>
      <c r="J15" s="21"/>
      <c r="K15" s="21"/>
      <c r="L15" s="21"/>
    </row>
    <row r="16">
      <c r="A16" s="20" t="s">
        <v>586</v>
      </c>
      <c r="B16" s="20" t="s">
        <v>587</v>
      </c>
      <c r="C16" s="20" t="s">
        <v>583</v>
      </c>
      <c r="D16" s="21" t="s">
        <v>522</v>
      </c>
      <c r="E16" s="33"/>
      <c r="F16" s="33"/>
      <c r="G16" s="57" t="str">
        <f t="shared" si="1"/>
        <v/>
      </c>
      <c r="H16" s="20" t="str">
        <f t="shared" si="2"/>
        <v>NOT REPORTED</v>
      </c>
      <c r="I16" s="21" t="s">
        <v>106</v>
      </c>
      <c r="J16" s="21"/>
      <c r="K16" s="21"/>
      <c r="L16" s="21"/>
    </row>
    <row r="17">
      <c r="A17" s="20" t="s">
        <v>588</v>
      </c>
      <c r="B17" s="20" t="s">
        <v>589</v>
      </c>
      <c r="C17" s="20" t="s">
        <v>590</v>
      </c>
      <c r="D17" s="21" t="s">
        <v>522</v>
      </c>
      <c r="E17" s="33"/>
      <c r="F17" s="33"/>
      <c r="G17" s="57" t="str">
        <f t="shared" si="1"/>
        <v/>
      </c>
      <c r="H17" s="20" t="str">
        <f t="shared" si="2"/>
        <v>NOT REPORTED</v>
      </c>
      <c r="I17" s="21" t="s">
        <v>106</v>
      </c>
      <c r="J17" s="21"/>
      <c r="K17" s="21"/>
      <c r="L17" s="21"/>
    </row>
    <row r="18">
      <c r="A18" s="20" t="s">
        <v>591</v>
      </c>
      <c r="B18" s="20" t="s">
        <v>592</v>
      </c>
      <c r="C18" s="20" t="s">
        <v>593</v>
      </c>
      <c r="D18" s="21" t="s">
        <v>522</v>
      </c>
      <c r="E18" s="33"/>
      <c r="F18" s="33"/>
      <c r="G18" s="57" t="str">
        <f t="shared" si="1"/>
        <v/>
      </c>
      <c r="H18" s="20" t="str">
        <f t="shared" si="2"/>
        <v>NOT REPORTED</v>
      </c>
      <c r="I18" s="21" t="s">
        <v>106</v>
      </c>
      <c r="J18" s="21"/>
      <c r="K18" s="21"/>
      <c r="L18" s="21"/>
    </row>
    <row r="19">
      <c r="A19" s="20" t="s">
        <v>594</v>
      </c>
      <c r="B19" s="20" t="s">
        <v>595</v>
      </c>
      <c r="C19" s="20" t="s">
        <v>596</v>
      </c>
      <c r="D19" s="21" t="s">
        <v>553</v>
      </c>
      <c r="E19" s="45"/>
      <c r="F19" s="45"/>
      <c r="G19" s="74" t="str">
        <f t="shared" si="1"/>
        <v/>
      </c>
      <c r="H19" s="20" t="str">
        <f t="shared" si="2"/>
        <v>NOT REPORTED</v>
      </c>
      <c r="I19" s="21" t="s">
        <v>106</v>
      </c>
      <c r="J19" s="21"/>
      <c r="K19" s="21"/>
      <c r="L19" s="21"/>
    </row>
    <row r="20">
      <c r="A20" s="20" t="s">
        <v>597</v>
      </c>
      <c r="B20" s="20" t="s">
        <v>598</v>
      </c>
      <c r="C20" s="20" t="s">
        <v>596</v>
      </c>
      <c r="D20" s="21" t="s">
        <v>553</v>
      </c>
      <c r="E20" s="45"/>
      <c r="F20" s="45"/>
      <c r="G20" s="74" t="str">
        <f t="shared" si="1"/>
        <v/>
      </c>
      <c r="H20" s="20" t="str">
        <f t="shared" si="2"/>
        <v>NOT REPORTED</v>
      </c>
      <c r="I20" s="21" t="s">
        <v>106</v>
      </c>
      <c r="J20" s="21"/>
      <c r="K20" s="21"/>
      <c r="L20" s="21"/>
    </row>
    <row r="21" ht="15.75" customHeight="1">
      <c r="A21" s="20" t="s">
        <v>456</v>
      </c>
      <c r="B21" s="20" t="s">
        <v>599</v>
      </c>
      <c r="C21" s="20" t="s">
        <v>596</v>
      </c>
      <c r="D21" s="21" t="s">
        <v>553</v>
      </c>
      <c r="E21" s="45"/>
      <c r="F21" s="45"/>
      <c r="G21" s="74" t="str">
        <f t="shared" si="1"/>
        <v/>
      </c>
      <c r="H21" s="20" t="str">
        <f t="shared" si="2"/>
        <v>NOT REPORTED</v>
      </c>
      <c r="I21" s="21" t="s">
        <v>106</v>
      </c>
      <c r="J21" s="21"/>
      <c r="K21" s="21"/>
      <c r="L21" s="21"/>
    </row>
    <row r="22" ht="15.75" customHeight="1">
      <c r="A22" s="20" t="s">
        <v>600</v>
      </c>
      <c r="B22" s="20" t="s">
        <v>601</v>
      </c>
      <c r="C22" s="20" t="s">
        <v>602</v>
      </c>
      <c r="D22" s="21" t="s">
        <v>553</v>
      </c>
      <c r="E22" s="33"/>
      <c r="F22" s="33"/>
      <c r="G22" s="57" t="str">
        <f t="shared" si="1"/>
        <v/>
      </c>
      <c r="H22" s="20" t="str">
        <f t="shared" si="2"/>
        <v>NOT REPORTED</v>
      </c>
      <c r="I22" s="21" t="s">
        <v>106</v>
      </c>
      <c r="J22" s="21"/>
      <c r="K22" s="21"/>
      <c r="L22" s="21"/>
    </row>
    <row r="23" ht="15.75" customHeight="1">
      <c r="A23" s="20" t="s">
        <v>603</v>
      </c>
      <c r="B23" s="20" t="s">
        <v>604</v>
      </c>
      <c r="C23" s="20" t="s">
        <v>605</v>
      </c>
      <c r="D23" s="21" t="s">
        <v>553</v>
      </c>
      <c r="E23" s="45"/>
      <c r="F23" s="45"/>
      <c r="G23" s="74" t="str">
        <f t="shared" si="1"/>
        <v/>
      </c>
      <c r="H23" s="20" t="str">
        <f t="shared" si="2"/>
        <v>NOT REPORTED</v>
      </c>
      <c r="I23" s="21" t="s">
        <v>106</v>
      </c>
      <c r="J23" s="21"/>
      <c r="K23" s="21"/>
      <c r="L23" s="21"/>
    </row>
    <row r="24" ht="15.75" customHeight="1">
      <c r="A24" s="20" t="s">
        <v>606</v>
      </c>
      <c r="B24" s="20" t="s">
        <v>607</v>
      </c>
      <c r="C24" s="20" t="s">
        <v>585</v>
      </c>
      <c r="D24" s="21" t="s">
        <v>553</v>
      </c>
      <c r="E24" s="38"/>
      <c r="F24" s="38"/>
      <c r="G24" s="73" t="str">
        <f t="shared" si="1"/>
        <v/>
      </c>
      <c r="H24" s="20" t="str">
        <f t="shared" si="2"/>
        <v>NOT REPORTED</v>
      </c>
      <c r="I24" s="21" t="s">
        <v>106</v>
      </c>
      <c r="J24" s="21"/>
      <c r="K24" s="21"/>
      <c r="L24" s="21"/>
    </row>
    <row r="25" ht="15.75" customHeight="1">
      <c r="A25" s="20" t="s">
        <v>608</v>
      </c>
      <c r="B25" s="20" t="s">
        <v>383</v>
      </c>
      <c r="C25" s="20" t="s">
        <v>596</v>
      </c>
      <c r="D25" s="21" t="s">
        <v>553</v>
      </c>
      <c r="E25" s="45"/>
      <c r="F25" s="45"/>
      <c r="G25" s="74" t="str">
        <f t="shared" si="1"/>
        <v/>
      </c>
      <c r="H25" s="20" t="str">
        <f t="shared" si="2"/>
        <v>NOT REPORTED</v>
      </c>
      <c r="I25" s="21" t="s">
        <v>106</v>
      </c>
      <c r="J25" s="21"/>
      <c r="K25" s="21"/>
      <c r="L25" s="21"/>
    </row>
    <row r="26" ht="15.75" customHeight="1">
      <c r="A26" s="20" t="s">
        <v>609</v>
      </c>
      <c r="B26" s="20" t="s">
        <v>610</v>
      </c>
      <c r="C26" s="20" t="s">
        <v>611</v>
      </c>
      <c r="D26" s="21" t="s">
        <v>522</v>
      </c>
      <c r="E26" s="33"/>
      <c r="F26" s="33"/>
      <c r="G26" s="57" t="str">
        <f t="shared" si="1"/>
        <v/>
      </c>
      <c r="H26" s="20" t="str">
        <f t="shared" si="2"/>
        <v>NOT REPORTED</v>
      </c>
      <c r="I26" s="21" t="s">
        <v>106</v>
      </c>
      <c r="J26" s="21"/>
      <c r="K26" s="21"/>
      <c r="L26" s="21"/>
    </row>
    <row r="27" ht="15.75" customHeight="1">
      <c r="A27" s="18" t="s">
        <v>612</v>
      </c>
      <c r="B27" s="18" t="s">
        <v>613</v>
      </c>
      <c r="C27" s="18" t="s">
        <v>614</v>
      </c>
      <c r="D27" s="26" t="s">
        <v>522</v>
      </c>
      <c r="E27" s="75"/>
      <c r="F27" s="75"/>
      <c r="G27" s="67" t="str">
        <f t="shared" si="1"/>
        <v/>
      </c>
      <c r="H27" s="18" t="str">
        <f t="shared" si="2"/>
        <v>NOT REPORTED</v>
      </c>
      <c r="I27" s="26" t="s">
        <v>106</v>
      </c>
      <c r="J27" s="26"/>
      <c r="K27" s="26"/>
      <c r="L27" s="26"/>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L1"/>
    <mergeCell ref="A2:L2"/>
  </mergeCells>
  <conditionalFormatting sqref="D4">
    <cfRule type="containsText" dxfId="0" priority="1" operator="containsText" text="INCOMPLETE">
      <formula>NOT(ISERROR(SEARCH(("INCOMPLETE"),(D4))))</formula>
    </cfRule>
  </conditionalFormatting>
  <conditionalFormatting sqref="D4">
    <cfRule type="containsText" dxfId="2" priority="2" operator="containsText" text="COMPLIANT">
      <formula>NOT(ISERROR(SEARCH(("COMPLIANT"),(D4))))</formula>
    </cfRule>
  </conditionalFormatting>
  <conditionalFormatting sqref="D4">
    <cfRule type="containsText" dxfId="3" priority="3" operator="containsText" text="BREACH">
      <formula>NOT(ISERROR(SEARCH(("BREACH"),(D4))))</formula>
    </cfRule>
  </conditionalFormatting>
  <conditionalFormatting sqref="H8:H27">
    <cfRule type="containsText" dxfId="0" priority="4" operator="containsText" text="NOT REPORTED">
      <formula>NOT(ISERROR(SEARCH(("NOT REPORTED"),(H8))))</formula>
    </cfRule>
  </conditionalFormatting>
  <conditionalFormatting sqref="H8:H27">
    <cfRule type="containsText" dxfId="2" priority="5" operator="containsText" text="COMPLIANT">
      <formula>NOT(ISERROR(SEARCH(("COMPLIANT"),(H8))))</formula>
    </cfRule>
  </conditionalFormatting>
  <conditionalFormatting sqref="H8:H27">
    <cfRule type="containsText" dxfId="3" priority="6" operator="containsText" text="BREACH">
      <formula>NOT(ISERROR(SEARCH(("BREACH"),(H8))))</formula>
    </cfRule>
  </conditionalFormatting>
  <conditionalFormatting sqref="I8:I27">
    <cfRule type="containsText" dxfId="0" priority="7" operator="containsText" text="ESTIMATE">
      <formula>NOT(ISERROR(SEARCH(("ESTIMATE"),(I8))))</formula>
    </cfRule>
  </conditionalFormatting>
  <conditionalFormatting sqref="I8:I27">
    <cfRule type="containsText" dxfId="3" priority="8" operator="containsText" text="UNKNOWN">
      <formula>NOT(ISERROR(SEARCH(("UNKNOWN"),(I8))))</formula>
    </cfRule>
  </conditionalFormatting>
  <conditionalFormatting sqref="I8:I27">
    <cfRule type="containsText" dxfId="0" priority="9" operator="containsText" text="CLAIM">
      <formula>NOT(ISERROR(SEARCH(("CLAIM"),(I8))))</formula>
    </cfRule>
  </conditionalFormatting>
  <conditionalFormatting sqref="I8:I27">
    <cfRule type="containsText" dxfId="2" priority="10" operator="containsText" text="FACT">
      <formula>NOT(ISERROR(SEARCH(("FACT"),(I8))))</formula>
    </cfRule>
  </conditionalFormatting>
  <dataValidations>
    <dataValidation type="list" allowBlank="1" sqref="I8:I27">
      <formula1>"FACT,ESTIMATE,CLAIM,UNKNOWN"</formula1>
    </dataValidation>
    <dataValidation type="list" allowBlank="1" sqref="D8:D27">
      <formula1>"At least,At most"</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2.0"/>
    <col customWidth="1" min="2" max="3" width="19.0"/>
    <col customWidth="1" min="4" max="4" width="17.0"/>
    <col customWidth="1" min="5" max="5" width="15.0"/>
    <col customWidth="1" min="6" max="6" width="18.0"/>
    <col customWidth="1" min="7" max="7" width="32.0"/>
    <col customWidth="1" min="8" max="26" width="8.63"/>
  </cols>
  <sheetData>
    <row r="1" ht="30.0" customHeight="1">
      <c r="A1" s="1" t="s">
        <v>615</v>
      </c>
    </row>
    <row r="2" ht="27.75" customHeight="1">
      <c r="A2" s="3" t="s">
        <v>616</v>
      </c>
    </row>
    <row r="3">
      <c r="A3" s="76" t="s">
        <v>617</v>
      </c>
      <c r="B3" s="76" t="str">
        <f>IF(COUNTIF(F7:F19,"FAIL")&gt;0,"NOT APPROVABLE",IF(COUNTIF(F7:F19,"INCOMPLETE")&gt;0,"INCOMPLETE — DO NOT APPROVE","READY FOR DECISION"))</f>
        <v>INCOMPLETE — DO NOT APPROVE</v>
      </c>
      <c r="C3" s="42"/>
      <c r="D3" s="42"/>
      <c r="E3" s="42"/>
      <c r="F3" s="42"/>
      <c r="G3" s="42"/>
    </row>
    <row r="4">
      <c r="A4" s="4"/>
      <c r="B4" s="4"/>
      <c r="C4" s="4"/>
      <c r="D4" s="4"/>
      <c r="E4" s="4"/>
      <c r="F4" s="4"/>
      <c r="G4" s="4"/>
    </row>
    <row r="5">
      <c r="A5" s="4"/>
      <c r="B5" s="4"/>
      <c r="C5" s="4"/>
      <c r="D5" s="4"/>
      <c r="E5" s="4"/>
      <c r="F5" s="4"/>
      <c r="G5" s="4"/>
    </row>
    <row r="6">
      <c r="A6" s="12" t="s">
        <v>618</v>
      </c>
      <c r="B6" s="12" t="s">
        <v>505</v>
      </c>
      <c r="C6" s="12" t="s">
        <v>619</v>
      </c>
      <c r="D6" s="12" t="s">
        <v>620</v>
      </c>
      <c r="E6" s="12" t="s">
        <v>621</v>
      </c>
      <c r="F6" s="12" t="s">
        <v>77</v>
      </c>
      <c r="G6" s="12" t="s">
        <v>622</v>
      </c>
    </row>
    <row r="7">
      <c r="A7" s="15" t="s">
        <v>623</v>
      </c>
      <c r="B7" s="15">
        <f>COUNTA('Hard Gates'!D7:D13)</f>
        <v>7</v>
      </c>
      <c r="C7" s="15">
        <v>7.0</v>
      </c>
      <c r="D7" s="15">
        <f t="shared" ref="D7:D19" si="1">B7-C7</f>
        <v>0</v>
      </c>
      <c r="E7" s="15">
        <v>0.0</v>
      </c>
      <c r="F7" s="15" t="str">
        <f>IF(B7=C7,"OK","INCOMPLETE")</f>
        <v>OK</v>
      </c>
      <c r="G7" s="15" t="s">
        <v>624</v>
      </c>
    </row>
    <row r="8">
      <c r="A8" s="20" t="s">
        <v>625</v>
      </c>
      <c r="B8" s="20">
        <f>COUNTIF('Hard Gates'!D7:D13,"Fail")+COUNTIF('Hard Gates'!D7:D13,"Unknown")</f>
        <v>7</v>
      </c>
      <c r="C8" s="20">
        <v>0.0</v>
      </c>
      <c r="D8" s="20">
        <f t="shared" si="1"/>
        <v>7</v>
      </c>
      <c r="E8" s="20">
        <v>0.0</v>
      </c>
      <c r="F8" s="20" t="str">
        <f>IF(B8=0,"OK","INCOMPLETE")</f>
        <v>INCOMPLETE</v>
      </c>
      <c r="G8" s="20" t="s">
        <v>624</v>
      </c>
    </row>
    <row r="9">
      <c r="A9" s="20" t="s">
        <v>626</v>
      </c>
      <c r="B9" s="20">
        <f>IF('Project Intake'!B21&gt;0,1,0)</f>
        <v>0</v>
      </c>
      <c r="C9" s="20">
        <v>1.0</v>
      </c>
      <c r="D9" s="20">
        <f t="shared" si="1"/>
        <v>-1</v>
      </c>
      <c r="E9" s="20">
        <v>0.0</v>
      </c>
      <c r="F9" s="20" t="str">
        <f>IF(B9=1,"OK","INCOMPLETE")</f>
        <v>INCOMPLETE</v>
      </c>
      <c r="G9" s="20" t="s">
        <v>627</v>
      </c>
    </row>
    <row r="10">
      <c r="A10" s="20" t="s">
        <v>628</v>
      </c>
      <c r="B10" s="20">
        <f>COUNTIF('Project Intake'!D9:D20,"Provided")</f>
        <v>0</v>
      </c>
      <c r="C10" s="20">
        <v>12.0</v>
      </c>
      <c r="D10" s="20">
        <f t="shared" si="1"/>
        <v>-12</v>
      </c>
      <c r="E10" s="20">
        <v>0.0</v>
      </c>
      <c r="F10" s="20" t="str">
        <f>IF(B10=C10,"OK","INCOMPLETE")</f>
        <v>INCOMPLETE</v>
      </c>
      <c r="G10" s="20" t="s">
        <v>629</v>
      </c>
    </row>
    <row r="11">
      <c r="A11" s="20" t="s">
        <v>630</v>
      </c>
      <c r="B11" s="20">
        <f>COUNTBLANK('Fiscal Inputs'!E8:G26)</f>
        <v>57</v>
      </c>
      <c r="C11" s="20">
        <v>0.0</v>
      </c>
      <c r="D11" s="20">
        <f t="shared" si="1"/>
        <v>57</v>
      </c>
      <c r="E11" s="20">
        <v>0.0</v>
      </c>
      <c r="F11" s="20" t="str">
        <f t="shared" ref="F11:F12" si="2">IF(B11=0,"OK","INCOMPLETE")</f>
        <v>INCOMPLETE</v>
      </c>
      <c r="G11" s="20" t="s">
        <v>631</v>
      </c>
    </row>
    <row r="12">
      <c r="A12" s="20" t="s">
        <v>632</v>
      </c>
      <c r="B12" s="20">
        <f>COUNTIFS('Fiscal Inputs'!D8:D28,"Yes",'Fiscal Inputs'!H8:H28,"UNKNOWN")</f>
        <v>19</v>
      </c>
      <c r="C12" s="20">
        <v>0.0</v>
      </c>
      <c r="D12" s="20">
        <f t="shared" si="1"/>
        <v>19</v>
      </c>
      <c r="E12" s="20">
        <v>0.0</v>
      </c>
      <c r="F12" s="20" t="str">
        <f t="shared" si="2"/>
        <v>INCOMPLETE</v>
      </c>
      <c r="G12" s="20" t="s">
        <v>634</v>
      </c>
    </row>
    <row r="13">
      <c r="A13" s="20" t="s">
        <v>636</v>
      </c>
      <c r="B13" s="74">
        <f>'20Y Model'!B49</f>
        <v>0</v>
      </c>
      <c r="C13" s="74">
        <v>0.0</v>
      </c>
      <c r="D13" s="74">
        <f t="shared" si="1"/>
        <v>0</v>
      </c>
      <c r="E13" s="74">
        <v>0.0</v>
      </c>
      <c r="F13" s="20" t="str">
        <f>IF(OR(B11&lt;&gt;0,B12&lt;&gt;0),"INCOMPLETE",IF(B13&gt;=0,"OK","FAIL"))</f>
        <v>INCOMPLETE</v>
      </c>
      <c r="G13" s="20" t="s">
        <v>646</v>
      </c>
    </row>
    <row r="14">
      <c r="A14" s="20" t="s">
        <v>648</v>
      </c>
      <c r="B14" s="74">
        <f>Scenarios!D30</f>
        <v>0</v>
      </c>
      <c r="C14" s="74">
        <v>0.0</v>
      </c>
      <c r="D14" s="74">
        <f t="shared" si="1"/>
        <v>0</v>
      </c>
      <c r="E14" s="74">
        <v>0.0</v>
      </c>
      <c r="F14" s="20" t="str">
        <f>IF(OR(B11&lt;&gt;0,B12&lt;&gt;0),"INCOMPLETE",IF(B14&gt;=0,"OK","FAIL"))</f>
        <v>INCOMPLETE</v>
      </c>
      <c r="G14" s="20" t="s">
        <v>657</v>
      </c>
    </row>
    <row r="15">
      <c r="A15" s="20" t="s">
        <v>659</v>
      </c>
      <c r="B15" s="74">
        <f>'20Y Model'!B48</f>
        <v>0</v>
      </c>
      <c r="C15" s="74">
        <v>0.0</v>
      </c>
      <c r="D15" s="74">
        <f t="shared" si="1"/>
        <v>0</v>
      </c>
      <c r="E15" s="74">
        <v>0.0</v>
      </c>
      <c r="F15" s="20" t="str">
        <f>IF(OR(B11&lt;&gt;0,B12&lt;&gt;0),"INCOMPLETE",IF(B15&gt;=0,"OK","FAIL"))</f>
        <v>INCOMPLETE</v>
      </c>
      <c r="G15" s="20" t="s">
        <v>666</v>
      </c>
    </row>
    <row r="16">
      <c r="A16" s="20" t="s">
        <v>667</v>
      </c>
      <c r="B16" s="74">
        <f>'Cost Ledger'!B4</f>
        <v>0</v>
      </c>
      <c r="C16" s="74">
        <v>0.0</v>
      </c>
      <c r="D16" s="74">
        <f t="shared" si="1"/>
        <v>0</v>
      </c>
      <c r="E16" s="74">
        <v>0.0</v>
      </c>
      <c r="F16" s="20" t="str">
        <f>IF(AND(B16=0,'Cost Ledger'!E4=0),"OK","INCOMPLETE")</f>
        <v>INCOMPLETE</v>
      </c>
      <c r="G16" s="20" t="s">
        <v>684</v>
      </c>
    </row>
    <row r="17">
      <c r="A17" s="20" t="s">
        <v>688</v>
      </c>
      <c r="B17" s="20">
        <f>COUNTIF('Project Intake'!D30:D35,"Provided")</f>
        <v>0</v>
      </c>
      <c r="C17" s="20">
        <v>6.0</v>
      </c>
      <c r="D17" s="20">
        <f t="shared" si="1"/>
        <v>-6</v>
      </c>
      <c r="E17" s="20">
        <v>0.0</v>
      </c>
      <c r="F17" s="20" t="str">
        <f t="shared" ref="F17:F18" si="3">IF(B17=C17,"OK","INCOMPLETE")</f>
        <v>INCOMPLETE</v>
      </c>
      <c r="G17" s="20" t="s">
        <v>699</v>
      </c>
    </row>
    <row r="18">
      <c r="A18" s="20" t="s">
        <v>701</v>
      </c>
      <c r="B18" s="58">
        <f>'Contract Register'!B5</f>
        <v>0</v>
      </c>
      <c r="C18" s="58">
        <f>'Contract Register'!A5</f>
        <v>16</v>
      </c>
      <c r="D18" s="58">
        <f t="shared" si="1"/>
        <v>-16</v>
      </c>
      <c r="E18" s="20">
        <v>0.0</v>
      </c>
      <c r="F18" s="20" t="str">
        <f t="shared" si="3"/>
        <v>INCOMPLETE</v>
      </c>
      <c r="G18" s="20" t="s">
        <v>714</v>
      </c>
    </row>
    <row r="19">
      <c r="A19" s="18" t="s">
        <v>716</v>
      </c>
      <c r="B19" s="18">
        <f>COUNTBLANK('Annual Dashboard'!E8:E27)</f>
        <v>20</v>
      </c>
      <c r="C19" s="18">
        <v>0.0</v>
      </c>
      <c r="D19" s="18">
        <f t="shared" si="1"/>
        <v>20</v>
      </c>
      <c r="E19" s="18">
        <v>0.0</v>
      </c>
      <c r="F19" s="18" t="str">
        <f>IF(B19=0,"OK","INCOMPLETE")</f>
        <v>INCOMPLETE</v>
      </c>
      <c r="G19" s="18" t="s">
        <v>724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2"/>
  </mergeCells>
  <conditionalFormatting sqref="B3">
    <cfRule type="containsText" dxfId="3" priority="1" operator="containsText" text="NOT APPROVABLE">
      <formula>NOT(ISERROR(SEARCH(("NOT APPROVABLE"),(B3))))</formula>
    </cfRule>
  </conditionalFormatting>
  <conditionalFormatting sqref="B3">
    <cfRule type="containsText" dxfId="0" priority="2" operator="containsText" text="INCOMPLETE">
      <formula>NOT(ISERROR(SEARCH(("INCOMPLETE"),(B3))))</formula>
    </cfRule>
  </conditionalFormatting>
  <conditionalFormatting sqref="B3">
    <cfRule type="containsText" dxfId="2" priority="3" operator="containsText" text="READY">
      <formula>NOT(ISERROR(SEARCH(("READY"),(B3))))</formula>
    </cfRule>
  </conditionalFormatting>
  <conditionalFormatting sqref="F7:F19">
    <cfRule type="containsText" dxfId="0" priority="4" operator="containsText" text="INCOMPLETE">
      <formula>NOT(ISERROR(SEARCH(("INCOMPLETE"),(F7))))</formula>
    </cfRule>
  </conditionalFormatting>
  <conditionalFormatting sqref="F7:F19">
    <cfRule type="containsText" dxfId="3" priority="5" operator="containsText" text="FAIL">
      <formula>NOT(ISERROR(SEARCH(("FAIL"),(F7))))</formula>
    </cfRule>
  </conditionalFormatting>
  <conditionalFormatting sqref="F7:F19">
    <cfRule type="containsText" dxfId="2" priority="6" operator="containsText" text="OK">
      <formula>NOT(ISERROR(SEARCH(("OK"),(F7))))</formula>
    </cfRule>
  </conditionalFormatting>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0"/>
    <col customWidth="1" min="2" max="2" width="40.0"/>
    <col customWidth="1" min="3" max="3" width="46.0"/>
    <col customWidth="1" min="4" max="4" width="14.0"/>
    <col customWidth="1" min="5" max="5" width="22.0"/>
    <col customWidth="1" min="6" max="6" width="20.0"/>
    <col customWidth="1" min="7" max="7" width="48.0"/>
    <col customWidth="1" min="8" max="8" width="72.0"/>
    <col customWidth="1" min="9" max="9" width="50.0"/>
    <col customWidth="1" min="10" max="26" width="8.63"/>
  </cols>
  <sheetData>
    <row r="1" ht="30.0" customHeight="1">
      <c r="A1" s="1" t="s">
        <v>633</v>
      </c>
    </row>
    <row r="2" ht="27.75" customHeight="1">
      <c r="A2" s="3" t="s">
        <v>635</v>
      </c>
    </row>
    <row r="3">
      <c r="A3" s="4"/>
      <c r="B3" s="4"/>
      <c r="C3" s="4"/>
      <c r="D3" s="4"/>
      <c r="E3" s="4"/>
      <c r="F3" s="4"/>
      <c r="G3" s="4"/>
      <c r="H3" s="4"/>
      <c r="I3" s="4"/>
    </row>
    <row r="4">
      <c r="A4" s="12" t="s">
        <v>220</v>
      </c>
      <c r="B4" s="12" t="s">
        <v>637</v>
      </c>
      <c r="C4" s="12" t="s">
        <v>638</v>
      </c>
      <c r="D4" s="12" t="s">
        <v>639</v>
      </c>
      <c r="E4" s="12" t="s">
        <v>640</v>
      </c>
      <c r="F4" s="12" t="s">
        <v>301</v>
      </c>
      <c r="G4" s="12" t="s">
        <v>641</v>
      </c>
      <c r="H4" s="12" t="s">
        <v>642</v>
      </c>
      <c r="I4" s="12" t="s">
        <v>643</v>
      </c>
    </row>
    <row r="5">
      <c r="A5" s="15" t="s">
        <v>644</v>
      </c>
      <c r="B5" s="15" t="s">
        <v>645</v>
      </c>
      <c r="C5" s="15" t="s">
        <v>647</v>
      </c>
      <c r="D5" s="77">
        <v>45627.0</v>
      </c>
      <c r="E5" s="15" t="s">
        <v>649</v>
      </c>
      <c r="F5" s="7" t="s">
        <v>95</v>
      </c>
      <c r="G5" s="15" t="s">
        <v>650</v>
      </c>
      <c r="H5" s="15" t="s">
        <v>651</v>
      </c>
      <c r="I5" s="15" t="s">
        <v>652</v>
      </c>
    </row>
    <row r="6">
      <c r="A6" s="20" t="s">
        <v>653</v>
      </c>
      <c r="B6" s="20" t="s">
        <v>654</v>
      </c>
      <c r="C6" s="20" t="s">
        <v>655</v>
      </c>
      <c r="D6" s="78">
        <v>46174.0</v>
      </c>
      <c r="E6" s="20" t="s">
        <v>649</v>
      </c>
      <c r="F6" s="19" t="s">
        <v>656</v>
      </c>
      <c r="G6" s="20" t="s">
        <v>658</v>
      </c>
      <c r="H6" s="20" t="s">
        <v>660</v>
      </c>
      <c r="I6" s="20" t="s">
        <v>661</v>
      </c>
    </row>
    <row r="7">
      <c r="A7" s="20" t="s">
        <v>662</v>
      </c>
      <c r="B7" s="20" t="s">
        <v>654</v>
      </c>
      <c r="C7" s="20" t="s">
        <v>663</v>
      </c>
      <c r="D7" s="78">
        <v>46023.0</v>
      </c>
      <c r="E7" s="20" t="s">
        <v>649</v>
      </c>
      <c r="F7" s="19" t="s">
        <v>664</v>
      </c>
      <c r="G7" s="20" t="s">
        <v>665</v>
      </c>
      <c r="H7" s="20" t="s">
        <v>668</v>
      </c>
      <c r="I7" s="20" t="s">
        <v>669</v>
      </c>
    </row>
    <row r="8">
      <c r="A8" s="20" t="s">
        <v>670</v>
      </c>
      <c r="B8" s="20" t="s">
        <v>671</v>
      </c>
      <c r="C8" s="20" t="s">
        <v>672</v>
      </c>
      <c r="D8" s="78">
        <v>45861.0</v>
      </c>
      <c r="E8" s="20" t="s">
        <v>673</v>
      </c>
      <c r="F8" s="19" t="s">
        <v>91</v>
      </c>
      <c r="G8" s="20" t="s">
        <v>674</v>
      </c>
      <c r="H8" s="20" t="s">
        <v>675</v>
      </c>
      <c r="I8" s="20" t="s">
        <v>676</v>
      </c>
    </row>
    <row r="9">
      <c r="A9" s="20" t="s">
        <v>677</v>
      </c>
      <c r="B9" s="20" t="s">
        <v>678</v>
      </c>
      <c r="C9" s="20" t="s">
        <v>679</v>
      </c>
      <c r="D9" s="78">
        <v>45847.0</v>
      </c>
      <c r="E9" s="20" t="s">
        <v>673</v>
      </c>
      <c r="F9" s="19" t="s">
        <v>91</v>
      </c>
      <c r="G9" s="20" t="s">
        <v>680</v>
      </c>
      <c r="H9" s="20" t="s">
        <v>681</v>
      </c>
      <c r="I9" s="20" t="s">
        <v>682</v>
      </c>
    </row>
    <row r="10">
      <c r="A10" s="20" t="s">
        <v>683</v>
      </c>
      <c r="B10" s="20" t="s">
        <v>685</v>
      </c>
      <c r="C10" s="20" t="s">
        <v>686</v>
      </c>
      <c r="D10" s="78">
        <v>45680.0</v>
      </c>
      <c r="E10" s="20" t="s">
        <v>687</v>
      </c>
      <c r="F10" s="19" t="s">
        <v>91</v>
      </c>
      <c r="G10" s="20" t="s">
        <v>689</v>
      </c>
      <c r="H10" s="20" t="s">
        <v>690</v>
      </c>
      <c r="I10" s="20" t="s">
        <v>691</v>
      </c>
    </row>
    <row r="11">
      <c r="A11" s="20" t="s">
        <v>692</v>
      </c>
      <c r="B11" s="20" t="s">
        <v>693</v>
      </c>
      <c r="C11" s="20" t="s">
        <v>694</v>
      </c>
      <c r="D11" s="78">
        <v>46009.0</v>
      </c>
      <c r="E11" s="20" t="s">
        <v>695</v>
      </c>
      <c r="F11" s="19" t="s">
        <v>696</v>
      </c>
      <c r="G11" s="20" t="s">
        <v>697</v>
      </c>
      <c r="H11" s="20" t="s">
        <v>698</v>
      </c>
      <c r="I11" s="20" t="s">
        <v>700</v>
      </c>
    </row>
    <row r="12">
      <c r="A12" s="20" t="s">
        <v>702</v>
      </c>
      <c r="B12" s="20" t="s">
        <v>703</v>
      </c>
      <c r="C12" s="20" t="s">
        <v>704</v>
      </c>
      <c r="D12" s="78">
        <v>46217.0</v>
      </c>
      <c r="E12" s="20" t="s">
        <v>705</v>
      </c>
      <c r="F12" s="19" t="s">
        <v>706</v>
      </c>
      <c r="G12" s="20" t="s">
        <v>707</v>
      </c>
      <c r="H12" s="20" t="s">
        <v>708</v>
      </c>
      <c r="I12" s="20" t="s">
        <v>709</v>
      </c>
    </row>
    <row r="13">
      <c r="A13" s="20" t="s">
        <v>710</v>
      </c>
      <c r="B13" s="20" t="s">
        <v>711</v>
      </c>
      <c r="C13" s="20" t="s">
        <v>712</v>
      </c>
      <c r="D13" s="78">
        <v>45992.0</v>
      </c>
      <c r="E13" s="20" t="s">
        <v>687</v>
      </c>
      <c r="F13" s="19" t="s">
        <v>95</v>
      </c>
      <c r="G13" s="20" t="s">
        <v>713</v>
      </c>
      <c r="H13" s="20" t="s">
        <v>715</v>
      </c>
      <c r="I13" s="20" t="s">
        <v>717</v>
      </c>
    </row>
    <row r="14">
      <c r="A14" s="20" t="s">
        <v>718</v>
      </c>
      <c r="B14" s="20" t="s">
        <v>719</v>
      </c>
      <c r="C14" s="20" t="s">
        <v>720</v>
      </c>
      <c r="D14" s="78">
        <v>45962.0</v>
      </c>
      <c r="E14" s="20" t="s">
        <v>721</v>
      </c>
      <c r="F14" s="19" t="s">
        <v>722</v>
      </c>
      <c r="G14" s="20" t="s">
        <v>723</v>
      </c>
      <c r="H14" s="20" t="s">
        <v>725</v>
      </c>
      <c r="I14" s="20" t="s">
        <v>726</v>
      </c>
    </row>
    <row r="15">
      <c r="A15" s="20" t="s">
        <v>727</v>
      </c>
      <c r="B15" s="20" t="s">
        <v>728</v>
      </c>
      <c r="C15" s="20" t="s">
        <v>729</v>
      </c>
      <c r="D15" s="78">
        <v>46133.0</v>
      </c>
      <c r="E15" s="20" t="s">
        <v>730</v>
      </c>
      <c r="F15" s="19" t="s">
        <v>696</v>
      </c>
      <c r="G15" s="20" t="s">
        <v>731</v>
      </c>
      <c r="H15" s="20" t="s">
        <v>732</v>
      </c>
      <c r="I15" s="20" t="s">
        <v>733</v>
      </c>
    </row>
    <row r="16">
      <c r="A16" s="20" t="s">
        <v>734</v>
      </c>
      <c r="B16" s="20" t="s">
        <v>735</v>
      </c>
      <c r="C16" s="20" t="s">
        <v>736</v>
      </c>
      <c r="D16" s="78">
        <v>46054.0</v>
      </c>
      <c r="E16" s="20" t="s">
        <v>737</v>
      </c>
      <c r="F16" s="19" t="s">
        <v>91</v>
      </c>
      <c r="G16" s="20" t="s">
        <v>738</v>
      </c>
      <c r="H16" s="20" t="s">
        <v>739</v>
      </c>
      <c r="I16" s="20" t="s">
        <v>740</v>
      </c>
    </row>
    <row r="17">
      <c r="A17" s="18" t="s">
        <v>741</v>
      </c>
      <c r="B17" s="18" t="s">
        <v>742</v>
      </c>
      <c r="C17" s="18" t="s">
        <v>743</v>
      </c>
      <c r="D17" s="79">
        <v>45627.0</v>
      </c>
      <c r="E17" s="18" t="s">
        <v>744</v>
      </c>
      <c r="F17" s="24" t="s">
        <v>745</v>
      </c>
      <c r="G17" s="18" t="s">
        <v>746</v>
      </c>
      <c r="H17" s="18" t="s">
        <v>747</v>
      </c>
      <c r="I17" s="18" t="s">
        <v>748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I1"/>
    <mergeCell ref="A2:I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3.0"/>
    <col customWidth="1" min="2" max="2" width="58.0"/>
    <col customWidth="1" min="3" max="8" width="12.0"/>
    <col customWidth="1" min="9" max="26" width="8.63"/>
  </cols>
  <sheetData>
    <row r="1" ht="30.0" customHeight="1">
      <c r="A1" s="1" t="s">
        <v>0</v>
      </c>
    </row>
    <row r="2" ht="27.75" customHeight="1">
      <c r="A2" s="3" t="s">
        <v>7</v>
      </c>
    </row>
    <row r="3">
      <c r="A3" s="4"/>
      <c r="B3" s="4"/>
      <c r="C3" s="4"/>
      <c r="D3" s="4"/>
      <c r="E3" s="4"/>
      <c r="F3" s="4"/>
      <c r="G3" s="4"/>
      <c r="H3" s="4"/>
    </row>
    <row r="4" ht="24.0" customHeight="1">
      <c r="A4" s="9" t="s">
        <v>13</v>
      </c>
      <c r="B4" s="10"/>
      <c r="C4" s="10"/>
      <c r="D4" s="10"/>
      <c r="E4" s="10"/>
      <c r="F4" s="10"/>
      <c r="G4" s="10"/>
      <c r="H4" s="11"/>
    </row>
    <row r="5">
      <c r="A5" s="7" t="s">
        <v>17</v>
      </c>
      <c r="B5" s="16" t="str">
        <f>'Hard Gates'!$B$4</f>
        <v>DEFER — EVIDENCE INCOMPLETE</v>
      </c>
      <c r="C5" s="15"/>
      <c r="D5" s="15"/>
      <c r="E5" s="15"/>
      <c r="F5" s="15"/>
      <c r="G5" s="15"/>
      <c r="H5" s="15"/>
    </row>
    <row r="6">
      <c r="A6" s="19" t="s">
        <v>46</v>
      </c>
      <c r="B6" s="22" t="str">
        <f>Checks!$B$3</f>
        <v>INCOMPLETE — DO NOT APPROVE</v>
      </c>
      <c r="C6" s="20"/>
      <c r="D6" s="20"/>
      <c r="E6" s="20"/>
      <c r="F6" s="20"/>
      <c r="G6" s="20"/>
      <c r="H6" s="20"/>
    </row>
    <row r="7">
      <c r="A7" s="19" t="s">
        <v>62</v>
      </c>
      <c r="B7" s="23">
        <f>'20Y Model'!$B$46</f>
        <v>0</v>
      </c>
      <c r="C7" s="20"/>
      <c r="D7" s="20"/>
      <c r="E7" s="20"/>
      <c r="F7" s="20"/>
      <c r="G7" s="20"/>
      <c r="H7" s="20"/>
    </row>
    <row r="8">
      <c r="A8" s="19" t="s">
        <v>86</v>
      </c>
      <c r="B8" s="23">
        <f>'20Y Model'!$B$49</f>
        <v>0</v>
      </c>
      <c r="C8" s="20"/>
      <c r="D8" s="20"/>
      <c r="E8" s="20"/>
      <c r="F8" s="20"/>
      <c r="G8" s="20"/>
      <c r="H8" s="20"/>
    </row>
    <row r="9">
      <c r="A9" s="19" t="s">
        <v>104</v>
      </c>
      <c r="B9" s="23">
        <f>'Cost Ledger'!$B$4</f>
        <v>0</v>
      </c>
      <c r="C9" s="20"/>
      <c r="D9" s="20"/>
      <c r="E9" s="20"/>
      <c r="F9" s="20"/>
      <c r="G9" s="20"/>
      <c r="H9" s="20"/>
    </row>
    <row r="10">
      <c r="A10" s="24" t="s">
        <v>121</v>
      </c>
      <c r="B10" s="25" t="str">
        <f>IF(OR(ISNUMBER(SEARCH("DEFER",B5)),ISNUMBER(SEARCH("REJECT",B5))),"DEFER / REJECT",IF(B6&lt;&gt;"READY FOR DECISION","INCOMPLETE — DO NOT APPROVE",IF(AND(B8&gt;=0,'20Y Model'!$B$48&gt;=0,B9=0),"CONDITIONAL APPROVAL — SUBJECT TO EXECUTED TERMS","DEFER / REJECT")))</f>
        <v>DEFER / REJECT</v>
      </c>
      <c r="C10" s="18"/>
      <c r="D10" s="18"/>
      <c r="E10" s="18"/>
      <c r="F10" s="18"/>
      <c r="G10" s="18"/>
      <c r="H10" s="18"/>
    </row>
    <row r="11">
      <c r="A11" s="4"/>
      <c r="B11" s="4"/>
      <c r="C11" s="4"/>
      <c r="D11" s="4"/>
      <c r="E11" s="4"/>
      <c r="F11" s="4"/>
      <c r="G11" s="4"/>
      <c r="H11" s="4"/>
    </row>
    <row r="12" ht="24.0" customHeight="1">
      <c r="A12" s="9" t="s">
        <v>177</v>
      </c>
      <c r="B12" s="10"/>
      <c r="C12" s="10"/>
      <c r="D12" s="10"/>
      <c r="E12" s="10"/>
      <c r="F12" s="10"/>
      <c r="G12" s="10"/>
      <c r="H12" s="11"/>
    </row>
    <row r="13">
      <c r="A13" s="30">
        <v>1.0</v>
      </c>
      <c r="B13" s="15" t="s">
        <v>182</v>
      </c>
      <c r="C13" s="15"/>
      <c r="D13" s="15"/>
      <c r="E13" s="15"/>
      <c r="F13" s="15"/>
      <c r="G13" s="15"/>
      <c r="H13" s="15"/>
    </row>
    <row r="14">
      <c r="A14" s="37">
        <v>2.0</v>
      </c>
      <c r="B14" s="20" t="s">
        <v>184</v>
      </c>
      <c r="C14" s="20"/>
      <c r="D14" s="20"/>
      <c r="E14" s="20"/>
      <c r="F14" s="20"/>
      <c r="G14" s="20"/>
      <c r="H14" s="20"/>
    </row>
    <row r="15">
      <c r="A15" s="37">
        <v>3.0</v>
      </c>
      <c r="B15" s="20" t="s">
        <v>188</v>
      </c>
      <c r="C15" s="20"/>
      <c r="D15" s="20"/>
      <c r="E15" s="20"/>
      <c r="F15" s="20"/>
      <c r="G15" s="20"/>
      <c r="H15" s="20"/>
    </row>
    <row r="16">
      <c r="A16" s="37">
        <v>4.0</v>
      </c>
      <c r="B16" s="20" t="s">
        <v>193</v>
      </c>
      <c r="C16" s="20"/>
      <c r="D16" s="20"/>
      <c r="E16" s="20"/>
      <c r="F16" s="20"/>
      <c r="G16" s="20"/>
      <c r="H16" s="20"/>
    </row>
    <row r="17">
      <c r="A17" s="37">
        <v>5.0</v>
      </c>
      <c r="B17" s="20" t="s">
        <v>197</v>
      </c>
      <c r="C17" s="20"/>
      <c r="D17" s="20"/>
      <c r="E17" s="20"/>
      <c r="F17" s="20"/>
      <c r="G17" s="20"/>
      <c r="H17" s="20"/>
    </row>
    <row r="18">
      <c r="A18" s="37">
        <v>6.0</v>
      </c>
      <c r="B18" s="20" t="s">
        <v>201</v>
      </c>
      <c r="C18" s="20"/>
      <c r="D18" s="20"/>
      <c r="E18" s="20"/>
      <c r="F18" s="20"/>
      <c r="G18" s="20"/>
      <c r="H18" s="20"/>
    </row>
    <row r="19">
      <c r="A19" s="40">
        <v>7.0</v>
      </c>
      <c r="B19" s="18" t="s">
        <v>204</v>
      </c>
      <c r="C19" s="18"/>
      <c r="D19" s="18"/>
      <c r="E19" s="18"/>
      <c r="F19" s="18"/>
      <c r="G19" s="18"/>
      <c r="H19" s="18"/>
    </row>
    <row r="20">
      <c r="A20" s="4"/>
      <c r="B20" s="4"/>
      <c r="C20" s="4"/>
      <c r="D20" s="4"/>
      <c r="E20" s="4"/>
      <c r="F20" s="4"/>
      <c r="G20" s="4"/>
      <c r="H20" s="4"/>
    </row>
    <row r="21" ht="24.0" customHeight="1">
      <c r="A21" s="9" t="s">
        <v>210</v>
      </c>
      <c r="B21" s="10"/>
      <c r="C21" s="10"/>
      <c r="D21" s="10"/>
      <c r="E21" s="10"/>
      <c r="F21" s="10"/>
      <c r="G21" s="10"/>
      <c r="H21" s="11"/>
    </row>
    <row r="22" ht="15.75" customHeight="1">
      <c r="A22" s="7" t="s">
        <v>91</v>
      </c>
      <c r="B22" s="15" t="s">
        <v>92</v>
      </c>
      <c r="C22" s="15"/>
      <c r="D22" s="15"/>
      <c r="E22" s="15"/>
      <c r="F22" s="15"/>
      <c r="G22" s="15"/>
      <c r="H22" s="15"/>
    </row>
    <row r="23" ht="15.75" customHeight="1">
      <c r="A23" s="19" t="s">
        <v>95</v>
      </c>
      <c r="B23" s="20" t="s">
        <v>215</v>
      </c>
      <c r="C23" s="20"/>
      <c r="D23" s="20"/>
      <c r="E23" s="20"/>
      <c r="F23" s="20"/>
      <c r="G23" s="20"/>
      <c r="H23" s="20"/>
    </row>
    <row r="24" ht="15.75" customHeight="1">
      <c r="A24" s="19" t="s">
        <v>99</v>
      </c>
      <c r="B24" s="20" t="s">
        <v>218</v>
      </c>
      <c r="C24" s="20"/>
      <c r="D24" s="20"/>
      <c r="E24" s="20"/>
      <c r="F24" s="20"/>
      <c r="G24" s="20"/>
      <c r="H24" s="20"/>
    </row>
    <row r="25" ht="15.75" customHeight="1">
      <c r="A25" s="24" t="s">
        <v>106</v>
      </c>
      <c r="B25" s="18" t="s">
        <v>229</v>
      </c>
      <c r="C25" s="18"/>
      <c r="D25" s="18"/>
      <c r="E25" s="18"/>
      <c r="F25" s="18"/>
      <c r="G25" s="18"/>
      <c r="H25" s="18"/>
    </row>
    <row r="26" ht="15.75" customHeight="1">
      <c r="A26" s="4"/>
      <c r="B26" s="4"/>
      <c r="C26" s="4"/>
      <c r="D26" s="4"/>
      <c r="E26" s="4"/>
      <c r="F26" s="4"/>
      <c r="G26" s="4"/>
      <c r="H26" s="4"/>
    </row>
    <row r="27" ht="15.75" customHeight="1">
      <c r="A27" s="27" t="s">
        <v>242</v>
      </c>
      <c r="B27" s="28"/>
      <c r="C27" s="28"/>
      <c r="D27" s="28"/>
      <c r="E27" s="28"/>
      <c r="F27" s="28"/>
      <c r="G27" s="28"/>
      <c r="H27" s="29"/>
    </row>
    <row r="28" ht="15.75" customHeight="1">
      <c r="A28" s="34"/>
      <c r="B28" s="35"/>
      <c r="C28" s="35"/>
      <c r="D28" s="35"/>
      <c r="E28" s="35"/>
      <c r="F28" s="35"/>
      <c r="G28" s="35"/>
      <c r="H28" s="36"/>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H1"/>
    <mergeCell ref="A2:H2"/>
    <mergeCell ref="A4:H4"/>
    <mergeCell ref="A12:H12"/>
    <mergeCell ref="A21:H21"/>
    <mergeCell ref="A27:H28"/>
  </mergeCells>
  <conditionalFormatting sqref="B5:B10">
    <cfRule type="containsText" dxfId="0" priority="1" operator="containsText" text="CONDITIONAL">
      <formula>NOT(ISERROR(SEARCH(("CONDITIONAL"),(B5))))</formula>
    </cfRule>
  </conditionalFormatting>
  <conditionalFormatting sqref="B5:B10">
    <cfRule type="containsText" dxfId="0" priority="2" operator="containsText" text="INCOMPLETE">
      <formula>NOT(ISERROR(SEARCH(("INCOMPLETE"),(B5))))</formula>
    </cfRule>
  </conditionalFormatting>
  <conditionalFormatting sqref="B5:B10">
    <cfRule type="containsText" dxfId="2" priority="3" operator="containsText" text="APPROVAL">
      <formula>NOT(ISERROR(SEARCH(("APPROVAL"),(B5))))</formula>
    </cfRule>
  </conditionalFormatting>
  <conditionalFormatting sqref="B5:B10">
    <cfRule type="containsText" dxfId="3" priority="4" operator="containsText" text="REJECT">
      <formula>NOT(ISERROR(SEARCH(("REJECT"),(B5))))</formula>
    </cfRule>
  </conditionalFormatting>
  <conditionalFormatting sqref="B5:B10">
    <cfRule type="containsText" dxfId="3" priority="5" operator="containsText" text="DEFER">
      <formula>NOT(ISERROR(SEARCH(("DEFER"),(B5))))</formula>
    </cfRule>
  </conditionalFormatting>
  <conditionalFormatting sqref="B5:B10">
    <cfRule type="containsText" dxfId="2" priority="6" operator="containsText" text="PASS">
      <formula>NOT(ISERROR(SEARCH(("PASS"),(B5))))</formula>
    </cfRule>
  </conditionalFormatting>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4.0"/>
    <col customWidth="1" min="2" max="2" width="27.0"/>
    <col customWidth="1" min="3" max="3" width="53.0"/>
    <col customWidth="1" min="4" max="4" width="19.0"/>
    <col customWidth="1" min="5" max="5" width="24.0"/>
    <col customWidth="1" min="6" max="26" width="8.63"/>
  </cols>
  <sheetData>
    <row r="1" ht="30.0" customHeight="1">
      <c r="A1" s="1" t="s">
        <v>1</v>
      </c>
    </row>
    <row r="2" ht="27.75" customHeight="1">
      <c r="A2" s="3" t="s">
        <v>8</v>
      </c>
    </row>
    <row r="3">
      <c r="A3" s="4"/>
      <c r="B3" s="4"/>
      <c r="C3" s="4"/>
      <c r="D3" s="4"/>
      <c r="E3" s="4"/>
    </row>
    <row r="4" ht="24.0" customHeight="1">
      <c r="A4" s="9" t="s">
        <v>12</v>
      </c>
      <c r="B4" s="10"/>
      <c r="C4" s="10"/>
      <c r="D4" s="10"/>
      <c r="E4" s="11"/>
    </row>
    <row r="5">
      <c r="A5" s="4"/>
      <c r="B5" s="4"/>
      <c r="C5" s="4"/>
      <c r="D5" s="4"/>
      <c r="E5" s="4"/>
    </row>
    <row r="6">
      <c r="A6" s="12" t="s">
        <v>19</v>
      </c>
      <c r="B6" s="12" t="s">
        <v>21</v>
      </c>
      <c r="C6" s="12" t="s">
        <v>22</v>
      </c>
      <c r="D6" s="12" t="s">
        <v>25</v>
      </c>
      <c r="E6" s="12" t="s">
        <v>27</v>
      </c>
    </row>
    <row r="7">
      <c r="A7" s="15" t="s">
        <v>29</v>
      </c>
      <c r="B7" s="17"/>
      <c r="C7" s="15" t="s">
        <v>35</v>
      </c>
      <c r="D7" s="17" t="s">
        <v>47</v>
      </c>
      <c r="E7" s="17"/>
    </row>
    <row r="8">
      <c r="A8" s="20" t="s">
        <v>48</v>
      </c>
      <c r="B8" s="21"/>
      <c r="C8" s="20" t="s">
        <v>52</v>
      </c>
      <c r="D8" s="21" t="s">
        <v>47</v>
      </c>
      <c r="E8" s="21"/>
    </row>
    <row r="9">
      <c r="A9" s="20" t="s">
        <v>59</v>
      </c>
      <c r="B9" s="21"/>
      <c r="C9" s="20" t="s">
        <v>64</v>
      </c>
      <c r="D9" s="21" t="s">
        <v>47</v>
      </c>
      <c r="E9" s="21"/>
    </row>
    <row r="10">
      <c r="A10" s="20" t="s">
        <v>70</v>
      </c>
      <c r="B10" s="21"/>
      <c r="C10" s="20" t="s">
        <v>75</v>
      </c>
      <c r="D10" s="21" t="s">
        <v>47</v>
      </c>
      <c r="E10" s="21"/>
    </row>
    <row r="11">
      <c r="A11" s="20" t="s">
        <v>81</v>
      </c>
      <c r="B11" s="21"/>
      <c r="C11" s="20" t="s">
        <v>87</v>
      </c>
      <c r="D11" s="21" t="s">
        <v>47</v>
      </c>
      <c r="E11" s="21"/>
    </row>
    <row r="12">
      <c r="A12" s="20" t="s">
        <v>94</v>
      </c>
      <c r="B12" s="21"/>
      <c r="C12" s="20" t="s">
        <v>97</v>
      </c>
      <c r="D12" s="21" t="s">
        <v>47</v>
      </c>
      <c r="E12" s="21"/>
    </row>
    <row r="13">
      <c r="A13" s="20" t="s">
        <v>105</v>
      </c>
      <c r="B13" s="21"/>
      <c r="C13" s="20" t="s">
        <v>114</v>
      </c>
      <c r="D13" s="21" t="s">
        <v>47</v>
      </c>
      <c r="E13" s="21"/>
    </row>
    <row r="14">
      <c r="A14" s="20" t="s">
        <v>122</v>
      </c>
      <c r="B14" s="21"/>
      <c r="C14" s="20" t="s">
        <v>132</v>
      </c>
      <c r="D14" s="21" t="s">
        <v>47</v>
      </c>
      <c r="E14" s="21"/>
    </row>
    <row r="15">
      <c r="A15" s="20" t="s">
        <v>139</v>
      </c>
      <c r="B15" s="21"/>
      <c r="C15" s="20" t="s">
        <v>143</v>
      </c>
      <c r="D15" s="21" t="s">
        <v>47</v>
      </c>
      <c r="E15" s="21"/>
    </row>
    <row r="16">
      <c r="A16" s="20" t="s">
        <v>151</v>
      </c>
      <c r="B16" s="21"/>
      <c r="C16" s="20" t="s">
        <v>153</v>
      </c>
      <c r="D16" s="21" t="s">
        <v>47</v>
      </c>
      <c r="E16" s="21"/>
    </row>
    <row r="17">
      <c r="A17" s="20" t="s">
        <v>158</v>
      </c>
      <c r="B17" s="21"/>
      <c r="C17" s="20" t="s">
        <v>162</v>
      </c>
      <c r="D17" s="21" t="s">
        <v>47</v>
      </c>
      <c r="E17" s="21"/>
    </row>
    <row r="18">
      <c r="A18" s="20" t="s">
        <v>166</v>
      </c>
      <c r="B18" s="21"/>
      <c r="C18" s="20" t="s">
        <v>171</v>
      </c>
      <c r="D18" s="21" t="s">
        <v>47</v>
      </c>
      <c r="E18" s="21"/>
    </row>
    <row r="19">
      <c r="A19" s="20" t="s">
        <v>174</v>
      </c>
      <c r="B19" s="21"/>
      <c r="C19" s="20" t="s">
        <v>176</v>
      </c>
      <c r="D19" s="21" t="s">
        <v>47</v>
      </c>
      <c r="E19" s="21"/>
    </row>
    <row r="20">
      <c r="A20" s="20" t="s">
        <v>179</v>
      </c>
      <c r="B20" s="21"/>
      <c r="C20" s="20" t="s">
        <v>180</v>
      </c>
      <c r="D20" s="21" t="s">
        <v>47</v>
      </c>
      <c r="E20" s="21"/>
    </row>
    <row r="21" ht="15.75" customHeight="1">
      <c r="A21" s="20" t="s">
        <v>181</v>
      </c>
      <c r="B21" s="33"/>
      <c r="C21" s="20" t="s">
        <v>183</v>
      </c>
      <c r="D21" s="21" t="s">
        <v>47</v>
      </c>
      <c r="E21" s="21"/>
    </row>
    <row r="22" ht="15.75" customHeight="1">
      <c r="A22" s="20" t="s">
        <v>185</v>
      </c>
      <c r="B22" s="33"/>
      <c r="C22" s="20" t="s">
        <v>186</v>
      </c>
      <c r="D22" s="21" t="s">
        <v>47</v>
      </c>
      <c r="E22" s="21"/>
    </row>
    <row r="23" ht="15.75" customHeight="1">
      <c r="A23" s="20" t="s">
        <v>189</v>
      </c>
      <c r="B23" s="33"/>
      <c r="C23" s="20" t="s">
        <v>190</v>
      </c>
      <c r="D23" s="21" t="s">
        <v>47</v>
      </c>
      <c r="E23" s="21"/>
    </row>
    <row r="24" ht="15.75" customHeight="1">
      <c r="A24" s="20" t="s">
        <v>192</v>
      </c>
      <c r="B24" s="38"/>
      <c r="C24" s="20" t="s">
        <v>194</v>
      </c>
      <c r="D24" s="21" t="s">
        <v>47</v>
      </c>
      <c r="E24" s="21"/>
    </row>
    <row r="25" ht="15.75" customHeight="1">
      <c r="A25" s="20" t="s">
        <v>196</v>
      </c>
      <c r="B25" s="21"/>
      <c r="C25" s="20" t="s">
        <v>198</v>
      </c>
      <c r="D25" s="21" t="s">
        <v>47</v>
      </c>
      <c r="E25" s="21"/>
    </row>
    <row r="26" ht="15.75" customHeight="1">
      <c r="A26" s="20" t="s">
        <v>199</v>
      </c>
      <c r="B26" s="21"/>
      <c r="C26" s="20" t="s">
        <v>200</v>
      </c>
      <c r="D26" s="21" t="s">
        <v>47</v>
      </c>
      <c r="E26" s="21"/>
    </row>
    <row r="27" ht="15.75" customHeight="1">
      <c r="A27" s="20" t="s">
        <v>202</v>
      </c>
      <c r="B27" s="21"/>
      <c r="C27" s="20" t="s">
        <v>203</v>
      </c>
      <c r="D27" s="21" t="s">
        <v>47</v>
      </c>
      <c r="E27" s="21"/>
    </row>
    <row r="28" ht="15.75" customHeight="1">
      <c r="A28" s="20" t="s">
        <v>205</v>
      </c>
      <c r="B28" s="21"/>
      <c r="C28" s="20" t="s">
        <v>206</v>
      </c>
      <c r="D28" s="21" t="s">
        <v>47</v>
      </c>
      <c r="E28" s="21"/>
    </row>
    <row r="29" ht="15.75" customHeight="1">
      <c r="A29" s="20" t="s">
        <v>208</v>
      </c>
      <c r="B29" s="21"/>
      <c r="C29" s="20" t="s">
        <v>209</v>
      </c>
      <c r="D29" s="21" t="s">
        <v>47</v>
      </c>
      <c r="E29" s="21"/>
    </row>
    <row r="30" ht="15.75" customHeight="1">
      <c r="A30" s="20" t="s">
        <v>211</v>
      </c>
      <c r="B30" s="21"/>
      <c r="C30" s="20" t="s">
        <v>212</v>
      </c>
      <c r="D30" s="21" t="s">
        <v>47</v>
      </c>
      <c r="E30" s="21"/>
    </row>
    <row r="31" ht="15.75" customHeight="1">
      <c r="A31" s="20" t="s">
        <v>213</v>
      </c>
      <c r="B31" s="43"/>
      <c r="C31" s="20" t="s">
        <v>214</v>
      </c>
      <c r="D31" s="21" t="s">
        <v>47</v>
      </c>
      <c r="E31" s="21"/>
    </row>
    <row r="32" ht="15.75" customHeight="1">
      <c r="A32" s="20" t="s">
        <v>216</v>
      </c>
      <c r="B32" s="43"/>
      <c r="C32" s="20" t="s">
        <v>217</v>
      </c>
      <c r="D32" s="21" t="s">
        <v>47</v>
      </c>
      <c r="E32" s="21"/>
    </row>
    <row r="33" ht="15.75" customHeight="1">
      <c r="A33" s="20" t="s">
        <v>219</v>
      </c>
      <c r="B33" s="43"/>
      <c r="C33" s="20" t="s">
        <v>221</v>
      </c>
      <c r="D33" s="21" t="s">
        <v>47</v>
      </c>
      <c r="E33" s="21"/>
    </row>
    <row r="34" ht="15.75" customHeight="1">
      <c r="A34" s="20" t="s">
        <v>226</v>
      </c>
      <c r="B34" s="43"/>
      <c r="C34" s="20" t="s">
        <v>231</v>
      </c>
      <c r="D34" s="21" t="s">
        <v>47</v>
      </c>
      <c r="E34" s="21"/>
    </row>
    <row r="35" ht="15.75" customHeight="1">
      <c r="A35" s="20" t="s">
        <v>235</v>
      </c>
      <c r="B35" s="21"/>
      <c r="C35" s="20" t="s">
        <v>238</v>
      </c>
      <c r="D35" s="21" t="s">
        <v>47</v>
      </c>
      <c r="E35" s="21"/>
    </row>
    <row r="36" ht="15.75" customHeight="1">
      <c r="A36" s="20" t="s">
        <v>241</v>
      </c>
      <c r="B36" s="21"/>
      <c r="C36" s="20" t="s">
        <v>243</v>
      </c>
      <c r="D36" s="21" t="s">
        <v>47</v>
      </c>
      <c r="E36" s="21"/>
    </row>
    <row r="37" ht="15.75" customHeight="1">
      <c r="A37" s="20" t="s">
        <v>244</v>
      </c>
      <c r="B37" s="21"/>
      <c r="C37" s="20" t="s">
        <v>245</v>
      </c>
      <c r="D37" s="21" t="s">
        <v>47</v>
      </c>
      <c r="E37" s="21"/>
    </row>
    <row r="38" ht="15.75" customHeight="1">
      <c r="A38" s="20" t="s">
        <v>246</v>
      </c>
      <c r="B38" s="21"/>
      <c r="C38" s="20" t="s">
        <v>248</v>
      </c>
      <c r="D38" s="21" t="s">
        <v>47</v>
      </c>
      <c r="E38" s="21"/>
    </row>
    <row r="39" ht="15.75" customHeight="1">
      <c r="A39" s="20" t="s">
        <v>251</v>
      </c>
      <c r="B39" s="21"/>
      <c r="C39" s="20" t="s">
        <v>252</v>
      </c>
      <c r="D39" s="21" t="s">
        <v>47</v>
      </c>
      <c r="E39" s="21"/>
    </row>
    <row r="40" ht="15.75" customHeight="1">
      <c r="A40" s="20" t="s">
        <v>253</v>
      </c>
      <c r="B40" s="21"/>
      <c r="C40" s="20" t="s">
        <v>254</v>
      </c>
      <c r="D40" s="21" t="s">
        <v>47</v>
      </c>
      <c r="E40" s="21"/>
    </row>
    <row r="41" ht="15.75" customHeight="1">
      <c r="A41" s="20" t="s">
        <v>257</v>
      </c>
      <c r="B41" s="21"/>
      <c r="C41" s="20" t="s">
        <v>258</v>
      </c>
      <c r="D41" s="21" t="s">
        <v>47</v>
      </c>
      <c r="E41" s="21"/>
    </row>
    <row r="42" ht="15.75" customHeight="1">
      <c r="A42" s="20" t="s">
        <v>259</v>
      </c>
      <c r="B42" s="21"/>
      <c r="C42" s="20" t="s">
        <v>260</v>
      </c>
      <c r="D42" s="21" t="s">
        <v>47</v>
      </c>
      <c r="E42" s="21"/>
    </row>
    <row r="43" ht="15.75" customHeight="1">
      <c r="A43" s="20" t="s">
        <v>261</v>
      </c>
      <c r="B43" s="21"/>
      <c r="C43" s="20" t="s">
        <v>264</v>
      </c>
      <c r="D43" s="21" t="s">
        <v>47</v>
      </c>
      <c r="E43" s="21"/>
    </row>
    <row r="44" ht="15.75" customHeight="1">
      <c r="A44" s="20" t="s">
        <v>265</v>
      </c>
      <c r="B44" s="21"/>
      <c r="C44" s="20" t="s">
        <v>266</v>
      </c>
      <c r="D44" s="21" t="s">
        <v>47</v>
      </c>
      <c r="E44" s="21"/>
    </row>
    <row r="45" ht="15.75" customHeight="1">
      <c r="A45" s="20" t="s">
        <v>267</v>
      </c>
      <c r="B45" s="21"/>
      <c r="C45" s="20" t="s">
        <v>268</v>
      </c>
      <c r="D45" s="21" t="s">
        <v>47</v>
      </c>
      <c r="E45" s="21"/>
    </row>
    <row r="46" ht="15.75" customHeight="1">
      <c r="A46" s="20" t="s">
        <v>272</v>
      </c>
      <c r="B46" s="21"/>
      <c r="C46" s="20" t="s">
        <v>273</v>
      </c>
      <c r="D46" s="21" t="s">
        <v>47</v>
      </c>
      <c r="E46" s="21"/>
    </row>
    <row r="47" ht="15.75" customHeight="1">
      <c r="A47" s="18" t="s">
        <v>274</v>
      </c>
      <c r="B47" s="26"/>
      <c r="C47" s="18" t="s">
        <v>275</v>
      </c>
      <c r="D47" s="26" t="s">
        <v>47</v>
      </c>
      <c r="E47" s="26"/>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E1"/>
    <mergeCell ref="A2:E2"/>
    <mergeCell ref="A4:E4"/>
  </mergeCells>
  <conditionalFormatting sqref="D7:D47">
    <cfRule type="containsText" dxfId="1" priority="1" operator="containsText" text="Not applicable">
      <formula>NOT(ISERROR(SEARCH(("Not applicable"),(D7))))</formula>
    </cfRule>
  </conditionalFormatting>
  <conditionalFormatting sqref="D7:D47">
    <cfRule type="containsText" dxfId="3" priority="2" operator="containsText" text="Not provided">
      <formula>NOT(ISERROR(SEARCH(("Not provided"),(D7))))</formula>
    </cfRule>
  </conditionalFormatting>
  <conditionalFormatting sqref="D7:D47">
    <cfRule type="containsText" dxfId="2" priority="3" operator="containsText" text="Provided">
      <formula>NOT(ISERROR(SEARCH(("Provided"),(D7))))</formula>
    </cfRule>
  </conditionalFormatting>
  <conditionalFormatting sqref="D7:D47">
    <cfRule type="containsText" dxfId="0" priority="4" operator="containsText" text="Partly">
      <formula>NOT(ISERROR(SEARCH(("Partly"),(D7))))</formula>
    </cfRule>
  </conditionalFormatting>
  <dataValidations>
    <dataValidation type="list" allowBlank="1" sqref="D7:D47">
      <formula1>"Provided,Partly provided,Not provided,Not applicable"</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7.0"/>
    <col customWidth="1" min="2" max="2" width="44.0"/>
    <col customWidth="1" min="3" max="3" width="48.0"/>
    <col customWidth="1" min="4" max="4" width="16.0"/>
    <col customWidth="1" min="5" max="5" width="34.0"/>
    <col customWidth="1" min="6" max="6" width="25.0"/>
    <col customWidth="1" min="7" max="7" width="47.0"/>
    <col customWidth="1" min="8" max="26" width="8.63"/>
  </cols>
  <sheetData>
    <row r="1" ht="30.0" customHeight="1">
      <c r="A1" s="1" t="s">
        <v>2</v>
      </c>
    </row>
    <row r="2" ht="27.75" customHeight="1">
      <c r="A2" s="3" t="s">
        <v>4</v>
      </c>
    </row>
    <row r="3">
      <c r="A3" s="4"/>
      <c r="B3" s="4"/>
      <c r="C3" s="4"/>
      <c r="D3" s="4"/>
      <c r="E3" s="4"/>
      <c r="F3" s="4"/>
      <c r="G3" s="4"/>
    </row>
    <row r="4">
      <c r="A4" s="7" t="s">
        <v>9</v>
      </c>
      <c r="B4" s="16" t="str">
        <f>IF(COUNTIF(D7:D13,"Fail")&gt;0,"DEFER / REJECT",IF(COUNTIF(D7:D13,"Unknown")&gt;0,"DEFER — EVIDENCE INCOMPLETE",IF(COUNTIF(D7:D13,"Conditional")&gt;0,"CONDITIONAL — CURE BEFORE APPROVAL","ALL GATES PASS")))</f>
        <v>DEFER — EVIDENCE INCOMPLETE</v>
      </c>
      <c r="C4" s="15"/>
      <c r="D4" s="15" t="s">
        <v>37</v>
      </c>
      <c r="E4" s="15" t="s">
        <v>39</v>
      </c>
      <c r="F4" s="15" t="s">
        <v>41</v>
      </c>
      <c r="G4" s="15" t="s">
        <v>43</v>
      </c>
    </row>
    <row r="5">
      <c r="A5" s="18"/>
      <c r="B5" s="18"/>
      <c r="C5" s="18"/>
      <c r="D5" s="18">
        <f>COUNTIF(D7:D13,"Pass")</f>
        <v>0</v>
      </c>
      <c r="E5" s="18">
        <f>COUNTIF(D7:D13,"Conditional")</f>
        <v>0</v>
      </c>
      <c r="F5" s="18">
        <f>COUNTIF(D7:D13,"Fail")</f>
        <v>0</v>
      </c>
      <c r="G5" s="18">
        <f>COUNTIF(D7:D13,"Unknown")</f>
        <v>7</v>
      </c>
    </row>
    <row r="6">
      <c r="A6" s="12" t="s">
        <v>72</v>
      </c>
      <c r="B6" s="12" t="s">
        <v>74</v>
      </c>
      <c r="C6" s="12" t="s">
        <v>76</v>
      </c>
      <c r="D6" s="12" t="s">
        <v>77</v>
      </c>
      <c r="E6" s="12" t="s">
        <v>79</v>
      </c>
      <c r="F6" s="12" t="s">
        <v>80</v>
      </c>
      <c r="G6" s="12" t="s">
        <v>82</v>
      </c>
    </row>
    <row r="7">
      <c r="A7" s="15" t="s">
        <v>85</v>
      </c>
      <c r="B7" s="15" t="s">
        <v>89</v>
      </c>
      <c r="C7" s="15" t="s">
        <v>90</v>
      </c>
      <c r="D7" s="17" t="s">
        <v>43</v>
      </c>
      <c r="E7" s="17"/>
      <c r="F7" s="15" t="s">
        <v>100</v>
      </c>
      <c r="G7" s="15" t="s">
        <v>103</v>
      </c>
    </row>
    <row r="8">
      <c r="A8" s="20" t="s">
        <v>107</v>
      </c>
      <c r="B8" s="20" t="s">
        <v>110</v>
      </c>
      <c r="C8" s="20" t="s">
        <v>111</v>
      </c>
      <c r="D8" s="21" t="s">
        <v>43</v>
      </c>
      <c r="E8" s="21"/>
      <c r="F8" s="20" t="s">
        <v>112</v>
      </c>
      <c r="G8" s="20" t="s">
        <v>115</v>
      </c>
    </row>
    <row r="9">
      <c r="A9" s="20" t="s">
        <v>116</v>
      </c>
      <c r="B9" s="20" t="s">
        <v>117</v>
      </c>
      <c r="C9" s="20" t="s">
        <v>119</v>
      </c>
      <c r="D9" s="21" t="s">
        <v>43</v>
      </c>
      <c r="E9" s="21"/>
      <c r="F9" s="20" t="s">
        <v>125</v>
      </c>
      <c r="G9" s="20" t="s">
        <v>128</v>
      </c>
    </row>
    <row r="10">
      <c r="A10" s="20" t="s">
        <v>130</v>
      </c>
      <c r="B10" s="20" t="s">
        <v>134</v>
      </c>
      <c r="C10" s="20" t="s">
        <v>136</v>
      </c>
      <c r="D10" s="21" t="s">
        <v>43</v>
      </c>
      <c r="E10" s="21"/>
      <c r="F10" s="20" t="s">
        <v>141</v>
      </c>
      <c r="G10" s="20" t="s">
        <v>144</v>
      </c>
    </row>
    <row r="11">
      <c r="A11" s="20" t="s">
        <v>146</v>
      </c>
      <c r="B11" s="20" t="s">
        <v>148</v>
      </c>
      <c r="C11" s="20" t="s">
        <v>152</v>
      </c>
      <c r="D11" s="21" t="s">
        <v>43</v>
      </c>
      <c r="E11" s="21"/>
      <c r="F11" s="20" t="s">
        <v>154</v>
      </c>
      <c r="G11" s="20" t="s">
        <v>156</v>
      </c>
    </row>
    <row r="12">
      <c r="A12" s="20" t="s">
        <v>157</v>
      </c>
      <c r="B12" s="20" t="s">
        <v>159</v>
      </c>
      <c r="C12" s="20" t="s">
        <v>160</v>
      </c>
      <c r="D12" s="21" t="s">
        <v>43</v>
      </c>
      <c r="E12" s="21"/>
      <c r="F12" s="20" t="s">
        <v>163</v>
      </c>
      <c r="G12" s="20" t="s">
        <v>165</v>
      </c>
    </row>
    <row r="13">
      <c r="A13" s="18" t="s">
        <v>167</v>
      </c>
      <c r="B13" s="18" t="s">
        <v>168</v>
      </c>
      <c r="C13" s="18" t="s">
        <v>170</v>
      </c>
      <c r="D13" s="26" t="s">
        <v>43</v>
      </c>
      <c r="E13" s="26"/>
      <c r="F13" s="18" t="s">
        <v>173</v>
      </c>
      <c r="G13" s="18" t="s">
        <v>175</v>
      </c>
    </row>
    <row r="14">
      <c r="A14" s="4"/>
      <c r="B14" s="4"/>
      <c r="C14" s="4"/>
      <c r="D14" s="4"/>
      <c r="E14" s="4"/>
      <c r="F14" s="4"/>
      <c r="G14" s="4"/>
    </row>
    <row r="15">
      <c r="A15" s="27" t="s">
        <v>178</v>
      </c>
      <c r="B15" s="28"/>
      <c r="C15" s="28"/>
      <c r="D15" s="28"/>
      <c r="E15" s="28"/>
      <c r="F15" s="28"/>
      <c r="G15" s="29"/>
    </row>
    <row r="16">
      <c r="A16" s="31"/>
      <c r="G16" s="32"/>
    </row>
    <row r="17">
      <c r="A17" s="34"/>
      <c r="B17" s="35"/>
      <c r="C17" s="35"/>
      <c r="D17" s="35"/>
      <c r="E17" s="35"/>
      <c r="F17" s="35"/>
      <c r="G17" s="3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G1"/>
    <mergeCell ref="A2:G2"/>
    <mergeCell ref="A15:G17"/>
  </mergeCells>
  <conditionalFormatting sqref="D7:D13">
    <cfRule type="containsText" dxfId="0" priority="1" operator="containsText" text="Conditional">
      <formula>NOT(ISERROR(SEARCH(("Conditional"),(D7))))</formula>
    </cfRule>
  </conditionalFormatting>
  <conditionalFormatting sqref="D7:D13">
    <cfRule type="containsText" dxfId="1" priority="2" operator="containsText" text="Unknown">
      <formula>NOT(ISERROR(SEARCH(("Unknown"),(D7))))</formula>
    </cfRule>
  </conditionalFormatting>
  <conditionalFormatting sqref="D7:D13">
    <cfRule type="containsText" dxfId="2" priority="3" operator="containsText" text="Pass">
      <formula>NOT(ISERROR(SEARCH(("Pass"),(D7))))</formula>
    </cfRule>
  </conditionalFormatting>
  <conditionalFormatting sqref="D7:D13">
    <cfRule type="containsText" dxfId="3" priority="4" operator="containsText" text="Fail">
      <formula>NOT(ISERROR(SEARCH(("Fail"),(D7))))</formula>
    </cfRule>
  </conditionalFormatting>
  <conditionalFormatting sqref="B4">
    <cfRule type="containsText" dxfId="0" priority="5" operator="containsText" text="CONDITIONAL">
      <formula>NOT(ISERROR(SEARCH(("CONDITIONAL"),(B4))))</formula>
    </cfRule>
  </conditionalFormatting>
  <conditionalFormatting sqref="B4">
    <cfRule type="containsText" dxfId="3" priority="6" operator="containsText" text="REJECT">
      <formula>NOT(ISERROR(SEARCH(("REJECT"),(B4))))</formula>
    </cfRule>
  </conditionalFormatting>
  <conditionalFormatting sqref="B4">
    <cfRule type="containsText" dxfId="3" priority="7" operator="containsText" text="DEFER">
      <formula>NOT(ISERROR(SEARCH(("DEFER"),(B4))))</formula>
    </cfRule>
  </conditionalFormatting>
  <conditionalFormatting sqref="B4">
    <cfRule type="containsText" dxfId="2" priority="8" operator="containsText" text="PASS">
      <formula>NOT(ISERROR(SEARCH(("PASS"),(B4))))</formula>
    </cfRule>
  </conditionalFormatting>
  <dataValidations>
    <dataValidation type="list" allowBlank="1" sqref="D7:D13">
      <formula1>"Pass,Conditional,Fail,Unknown"</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2.0"/>
    <col customWidth="1" min="2" max="2" width="34.0"/>
    <col customWidth="1" min="3" max="3" width="21.0"/>
    <col customWidth="1" min="4" max="5" width="23.0"/>
    <col customWidth="1" min="6" max="6" width="16.0"/>
    <col customWidth="1" min="7" max="7" width="38.0"/>
    <col customWidth="1" min="8" max="8" width="22.0"/>
    <col customWidth="1" min="9" max="9" width="30.0"/>
    <col customWidth="1" min="10" max="10" width="18.0"/>
    <col customWidth="1" min="11" max="11" width="15.0"/>
    <col customWidth="1" min="12" max="12" width="36.0"/>
    <col customWidth="1" min="13" max="26" width="8.63"/>
  </cols>
  <sheetData>
    <row r="1" ht="30.0" customHeight="1">
      <c r="A1" s="1" t="s">
        <v>187</v>
      </c>
    </row>
    <row r="2" ht="27.75" customHeight="1">
      <c r="A2" s="3" t="s">
        <v>191</v>
      </c>
    </row>
    <row r="3">
      <c r="A3" s="4"/>
      <c r="B3" s="4"/>
      <c r="C3" s="4"/>
      <c r="D3" s="4"/>
      <c r="E3" s="4"/>
      <c r="F3" s="4"/>
      <c r="G3" s="4"/>
      <c r="H3" s="4"/>
      <c r="I3" s="4"/>
      <c r="J3" s="4"/>
      <c r="K3" s="4"/>
      <c r="L3" s="4"/>
    </row>
    <row r="4">
      <c r="A4" s="39" t="s">
        <v>195</v>
      </c>
      <c r="B4" s="41">
        <f>SUMIF(H8:H27,"Other ratepayers",F8:F27)+SUMIF(H8:H27,"Local government",F8:F27)+SUMIF(H8:H27,"State government",F8:F27)+SUMIF(H8:H27,"Federal government",F8:F27)</f>
        <v>0</v>
      </c>
      <c r="C4" s="42"/>
      <c r="D4" s="42" t="s">
        <v>207</v>
      </c>
      <c r="E4" s="42">
        <f>COUNTIF(H8:H27,"Unknown")</f>
        <v>20</v>
      </c>
      <c r="F4" s="42"/>
      <c r="G4" s="4"/>
      <c r="H4" s="4"/>
      <c r="I4" s="4"/>
      <c r="J4" s="4"/>
      <c r="K4" s="4"/>
      <c r="L4" s="4"/>
    </row>
    <row r="5">
      <c r="A5" s="4"/>
      <c r="B5" s="4"/>
      <c r="C5" s="4"/>
      <c r="D5" s="4"/>
      <c r="E5" s="4"/>
      <c r="F5" s="4"/>
      <c r="G5" s="4"/>
      <c r="H5" s="4"/>
      <c r="I5" s="4"/>
      <c r="J5" s="4"/>
      <c r="K5" s="4"/>
      <c r="L5" s="4"/>
    </row>
    <row r="6">
      <c r="A6" s="4"/>
      <c r="B6" s="4"/>
      <c r="C6" s="4"/>
      <c r="D6" s="4"/>
      <c r="E6" s="4"/>
      <c r="F6" s="4"/>
      <c r="G6" s="4"/>
      <c r="H6" s="4"/>
      <c r="I6" s="4"/>
      <c r="J6" s="4"/>
      <c r="K6" s="4"/>
      <c r="L6" s="4"/>
    </row>
    <row r="7">
      <c r="A7" s="12" t="s">
        <v>220</v>
      </c>
      <c r="B7" s="12" t="s">
        <v>222</v>
      </c>
      <c r="C7" s="12" t="s">
        <v>223</v>
      </c>
      <c r="D7" s="12" t="s">
        <v>224</v>
      </c>
      <c r="E7" s="12" t="s">
        <v>225</v>
      </c>
      <c r="F7" s="12" t="s">
        <v>227</v>
      </c>
      <c r="G7" s="12" t="s">
        <v>228</v>
      </c>
      <c r="H7" s="12" t="s">
        <v>230</v>
      </c>
      <c r="I7" s="12" t="s">
        <v>232</v>
      </c>
      <c r="J7" s="12" t="s">
        <v>233</v>
      </c>
      <c r="K7" s="12" t="s">
        <v>234</v>
      </c>
      <c r="L7" s="12" t="s">
        <v>236</v>
      </c>
    </row>
    <row r="8">
      <c r="A8" s="15" t="s">
        <v>237</v>
      </c>
      <c r="B8" s="15" t="s">
        <v>239</v>
      </c>
      <c r="C8" s="15" t="s">
        <v>240</v>
      </c>
      <c r="D8" s="17"/>
      <c r="E8" s="17"/>
      <c r="F8" s="44"/>
      <c r="G8" s="17"/>
      <c r="H8" s="17" t="s">
        <v>43</v>
      </c>
      <c r="I8" s="17"/>
      <c r="J8" s="17" t="s">
        <v>43</v>
      </c>
      <c r="K8" s="17"/>
      <c r="L8" s="17"/>
    </row>
    <row r="9">
      <c r="A9" s="20" t="s">
        <v>247</v>
      </c>
      <c r="B9" s="20" t="s">
        <v>249</v>
      </c>
      <c r="C9" s="20" t="s">
        <v>250</v>
      </c>
      <c r="D9" s="21"/>
      <c r="E9" s="21"/>
      <c r="F9" s="45"/>
      <c r="G9" s="21"/>
      <c r="H9" s="21" t="s">
        <v>43</v>
      </c>
      <c r="I9" s="21"/>
      <c r="J9" s="21" t="s">
        <v>43</v>
      </c>
      <c r="K9" s="21"/>
      <c r="L9" s="21"/>
    </row>
    <row r="10">
      <c r="A10" s="20" t="s">
        <v>255</v>
      </c>
      <c r="B10" s="20" t="s">
        <v>256</v>
      </c>
      <c r="C10" s="20" t="s">
        <v>250</v>
      </c>
      <c r="D10" s="21"/>
      <c r="E10" s="21"/>
      <c r="F10" s="45"/>
      <c r="G10" s="21"/>
      <c r="H10" s="21" t="s">
        <v>43</v>
      </c>
      <c r="I10" s="21"/>
      <c r="J10" s="21" t="s">
        <v>43</v>
      </c>
      <c r="K10" s="21"/>
      <c r="L10" s="21"/>
    </row>
    <row r="11">
      <c r="A11" s="20" t="s">
        <v>262</v>
      </c>
      <c r="B11" s="20" t="s">
        <v>263</v>
      </c>
      <c r="C11" s="20" t="s">
        <v>250</v>
      </c>
      <c r="D11" s="21"/>
      <c r="E11" s="21"/>
      <c r="F11" s="45"/>
      <c r="G11" s="21"/>
      <c r="H11" s="21" t="s">
        <v>43</v>
      </c>
      <c r="I11" s="21"/>
      <c r="J11" s="21" t="s">
        <v>43</v>
      </c>
      <c r="K11" s="21"/>
      <c r="L11" s="21"/>
    </row>
    <row r="12">
      <c r="A12" s="20" t="s">
        <v>269</v>
      </c>
      <c r="B12" s="20" t="s">
        <v>270</v>
      </c>
      <c r="C12" s="20" t="s">
        <v>271</v>
      </c>
      <c r="D12" s="21"/>
      <c r="E12" s="21"/>
      <c r="F12" s="45"/>
      <c r="G12" s="21"/>
      <c r="H12" s="21" t="s">
        <v>43</v>
      </c>
      <c r="I12" s="21"/>
      <c r="J12" s="21" t="s">
        <v>43</v>
      </c>
      <c r="K12" s="21"/>
      <c r="L12" s="21"/>
    </row>
    <row r="13">
      <c r="A13" s="20" t="s">
        <v>276</v>
      </c>
      <c r="B13" s="20" t="s">
        <v>277</v>
      </c>
      <c r="C13" s="20" t="s">
        <v>278</v>
      </c>
      <c r="D13" s="21"/>
      <c r="E13" s="21"/>
      <c r="F13" s="45"/>
      <c r="G13" s="21"/>
      <c r="H13" s="21" t="s">
        <v>43</v>
      </c>
      <c r="I13" s="21"/>
      <c r="J13" s="21" t="s">
        <v>43</v>
      </c>
      <c r="K13" s="21"/>
      <c r="L13" s="21"/>
    </row>
    <row r="14">
      <c r="A14" s="20" t="s">
        <v>279</v>
      </c>
      <c r="B14" s="20" t="s">
        <v>280</v>
      </c>
      <c r="C14" s="20" t="s">
        <v>271</v>
      </c>
      <c r="D14" s="21"/>
      <c r="E14" s="21"/>
      <c r="F14" s="45"/>
      <c r="G14" s="21"/>
      <c r="H14" s="21" t="s">
        <v>43</v>
      </c>
      <c r="I14" s="21"/>
      <c r="J14" s="21" t="s">
        <v>43</v>
      </c>
      <c r="K14" s="21"/>
      <c r="L14" s="21"/>
    </row>
    <row r="15">
      <c r="A15" s="20" t="s">
        <v>283</v>
      </c>
      <c r="B15" s="20" t="s">
        <v>284</v>
      </c>
      <c r="C15" s="20" t="s">
        <v>250</v>
      </c>
      <c r="D15" s="21"/>
      <c r="E15" s="21"/>
      <c r="F15" s="45"/>
      <c r="G15" s="21"/>
      <c r="H15" s="21" t="s">
        <v>43</v>
      </c>
      <c r="I15" s="21"/>
      <c r="J15" s="21" t="s">
        <v>43</v>
      </c>
      <c r="K15" s="21"/>
      <c r="L15" s="21"/>
    </row>
    <row r="16">
      <c r="A16" s="20" t="s">
        <v>289</v>
      </c>
      <c r="B16" s="20" t="s">
        <v>290</v>
      </c>
      <c r="C16" s="20" t="s">
        <v>250</v>
      </c>
      <c r="D16" s="21"/>
      <c r="E16" s="21"/>
      <c r="F16" s="45"/>
      <c r="G16" s="21"/>
      <c r="H16" s="21" t="s">
        <v>43</v>
      </c>
      <c r="I16" s="21"/>
      <c r="J16" s="21" t="s">
        <v>43</v>
      </c>
      <c r="K16" s="21"/>
      <c r="L16" s="21"/>
    </row>
    <row r="17">
      <c r="A17" s="20" t="s">
        <v>293</v>
      </c>
      <c r="B17" s="20" t="s">
        <v>295</v>
      </c>
      <c r="C17" s="20" t="s">
        <v>271</v>
      </c>
      <c r="D17" s="21"/>
      <c r="E17" s="21"/>
      <c r="F17" s="45"/>
      <c r="G17" s="21"/>
      <c r="H17" s="21" t="s">
        <v>43</v>
      </c>
      <c r="I17" s="21"/>
      <c r="J17" s="21" t="s">
        <v>43</v>
      </c>
      <c r="K17" s="21"/>
      <c r="L17" s="21"/>
    </row>
    <row r="18">
      <c r="A18" s="20" t="s">
        <v>306</v>
      </c>
      <c r="B18" s="20" t="s">
        <v>307</v>
      </c>
      <c r="C18" s="20" t="s">
        <v>250</v>
      </c>
      <c r="D18" s="21"/>
      <c r="E18" s="21"/>
      <c r="F18" s="45"/>
      <c r="G18" s="21"/>
      <c r="H18" s="21" t="s">
        <v>43</v>
      </c>
      <c r="I18" s="21"/>
      <c r="J18" s="21" t="s">
        <v>43</v>
      </c>
      <c r="K18" s="21"/>
      <c r="L18" s="21"/>
    </row>
    <row r="19">
      <c r="A19" s="20" t="s">
        <v>310</v>
      </c>
      <c r="B19" s="20" t="s">
        <v>312</v>
      </c>
      <c r="C19" s="20" t="s">
        <v>271</v>
      </c>
      <c r="D19" s="21"/>
      <c r="E19" s="21"/>
      <c r="F19" s="45"/>
      <c r="G19" s="21"/>
      <c r="H19" s="21" t="s">
        <v>43</v>
      </c>
      <c r="I19" s="21"/>
      <c r="J19" s="21" t="s">
        <v>43</v>
      </c>
      <c r="K19" s="21"/>
      <c r="L19" s="21"/>
    </row>
    <row r="20">
      <c r="A20" s="20" t="s">
        <v>316</v>
      </c>
      <c r="B20" s="20" t="s">
        <v>317</v>
      </c>
      <c r="C20" s="20" t="s">
        <v>271</v>
      </c>
      <c r="D20" s="21"/>
      <c r="E20" s="21"/>
      <c r="F20" s="45"/>
      <c r="G20" s="21"/>
      <c r="H20" s="21" t="s">
        <v>43</v>
      </c>
      <c r="I20" s="21"/>
      <c r="J20" s="21" t="s">
        <v>43</v>
      </c>
      <c r="K20" s="21"/>
      <c r="L20" s="21"/>
    </row>
    <row r="21" ht="15.75" customHeight="1">
      <c r="A21" s="20" t="s">
        <v>320</v>
      </c>
      <c r="B21" s="20" t="s">
        <v>322</v>
      </c>
      <c r="C21" s="20" t="s">
        <v>324</v>
      </c>
      <c r="D21" s="21"/>
      <c r="E21" s="21"/>
      <c r="F21" s="45"/>
      <c r="G21" s="21"/>
      <c r="H21" s="21" t="s">
        <v>43</v>
      </c>
      <c r="I21" s="21"/>
      <c r="J21" s="21" t="s">
        <v>43</v>
      </c>
      <c r="K21" s="21"/>
      <c r="L21" s="21"/>
    </row>
    <row r="22" ht="15.75" customHeight="1">
      <c r="A22" s="20" t="s">
        <v>327</v>
      </c>
      <c r="B22" s="20" t="s">
        <v>328</v>
      </c>
      <c r="C22" s="20" t="s">
        <v>271</v>
      </c>
      <c r="D22" s="21"/>
      <c r="E22" s="21"/>
      <c r="F22" s="45"/>
      <c r="G22" s="21"/>
      <c r="H22" s="21" t="s">
        <v>43</v>
      </c>
      <c r="I22" s="21"/>
      <c r="J22" s="21" t="s">
        <v>43</v>
      </c>
      <c r="K22" s="21"/>
      <c r="L22" s="21"/>
    </row>
    <row r="23" ht="15.75" customHeight="1">
      <c r="A23" s="20" t="s">
        <v>332</v>
      </c>
      <c r="B23" s="20" t="s">
        <v>333</v>
      </c>
      <c r="C23" s="20" t="s">
        <v>250</v>
      </c>
      <c r="D23" s="21"/>
      <c r="E23" s="21"/>
      <c r="F23" s="45"/>
      <c r="G23" s="21"/>
      <c r="H23" s="21" t="s">
        <v>43</v>
      </c>
      <c r="I23" s="21"/>
      <c r="J23" s="21" t="s">
        <v>43</v>
      </c>
      <c r="K23" s="21"/>
      <c r="L23" s="21"/>
    </row>
    <row r="24" ht="15.75" customHeight="1">
      <c r="A24" s="20" t="s">
        <v>336</v>
      </c>
      <c r="B24" s="20" t="s">
        <v>338</v>
      </c>
      <c r="C24" s="20" t="s">
        <v>271</v>
      </c>
      <c r="D24" s="21"/>
      <c r="E24" s="21"/>
      <c r="F24" s="45"/>
      <c r="G24" s="21"/>
      <c r="H24" s="21" t="s">
        <v>43</v>
      </c>
      <c r="I24" s="21"/>
      <c r="J24" s="21" t="s">
        <v>43</v>
      </c>
      <c r="K24" s="21"/>
      <c r="L24" s="21"/>
    </row>
    <row r="25" ht="15.75" customHeight="1">
      <c r="A25" s="20" t="s">
        <v>344</v>
      </c>
      <c r="B25" s="20" t="s">
        <v>345</v>
      </c>
      <c r="C25" s="20" t="s">
        <v>347</v>
      </c>
      <c r="D25" s="21"/>
      <c r="E25" s="21"/>
      <c r="F25" s="45"/>
      <c r="G25" s="21"/>
      <c r="H25" s="21" t="s">
        <v>43</v>
      </c>
      <c r="I25" s="21"/>
      <c r="J25" s="21" t="s">
        <v>43</v>
      </c>
      <c r="K25" s="21"/>
      <c r="L25" s="21"/>
    </row>
    <row r="26" ht="15.75" customHeight="1">
      <c r="A26" s="20" t="s">
        <v>352</v>
      </c>
      <c r="B26" s="20" t="s">
        <v>353</v>
      </c>
      <c r="C26" s="20" t="s">
        <v>354</v>
      </c>
      <c r="D26" s="21"/>
      <c r="E26" s="21"/>
      <c r="F26" s="45"/>
      <c r="G26" s="21"/>
      <c r="H26" s="21" t="s">
        <v>43</v>
      </c>
      <c r="I26" s="21"/>
      <c r="J26" s="21" t="s">
        <v>43</v>
      </c>
      <c r="K26" s="21"/>
      <c r="L26" s="21"/>
    </row>
    <row r="27" ht="15.75" customHeight="1">
      <c r="A27" s="18" t="s">
        <v>360</v>
      </c>
      <c r="B27" s="18" t="s">
        <v>362</v>
      </c>
      <c r="C27" s="18" t="s">
        <v>363</v>
      </c>
      <c r="D27" s="26"/>
      <c r="E27" s="26"/>
      <c r="F27" s="50"/>
      <c r="G27" s="26"/>
      <c r="H27" s="26" t="s">
        <v>43</v>
      </c>
      <c r="I27" s="26"/>
      <c r="J27" s="26" t="s">
        <v>43</v>
      </c>
      <c r="K27" s="26"/>
      <c r="L27" s="26"/>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L1"/>
    <mergeCell ref="A2:L2"/>
  </mergeCells>
  <conditionalFormatting sqref="J8:J27">
    <cfRule type="containsText" dxfId="2" priority="1" operator="containsText" text="Recovered">
      <formula>NOT(ISERROR(SEARCH(("Recovered"),(J8))))</formula>
    </cfRule>
  </conditionalFormatting>
  <conditionalFormatting sqref="J8:J27">
    <cfRule type="containsText" dxfId="3" priority="2" operator="containsText" text="Unsecured">
      <formula>NOT(ISERROR(SEARCH(("Unsecured"),(J8))))</formula>
    </cfRule>
  </conditionalFormatting>
  <conditionalFormatting sqref="J8:J27">
    <cfRule type="containsText" dxfId="2" priority="3" operator="containsText" text="Secured">
      <formula>NOT(ISERROR(SEARCH(("Secured"),(J8))))</formula>
    </cfRule>
  </conditionalFormatting>
  <conditionalFormatting sqref="J8:J27">
    <cfRule type="containsText" dxfId="1" priority="4" operator="containsText" text="Unknown">
      <formula>NOT(ISERROR(SEARCH(("Unknown"),(J8))))</formula>
    </cfRule>
  </conditionalFormatting>
  <dataValidations>
    <dataValidation type="list" allowBlank="1" sqref="J8:J27">
      <formula1>"Recovered,Secured,Unsecured,Unknown,Not applicable"</formula1>
    </dataValidation>
    <dataValidation type="list" allowBlank="1" sqref="H8:H27">
      <formula1>"Applicant/owner,Utility shareholders,Other ratepayers,Local government,State government,Federal government,Unknown"</formula1>
    </dataValidation>
  </dataValidation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2.0"/>
    <col customWidth="1" min="2" max="2" width="28.0"/>
    <col customWidth="1" min="3" max="4" width="12.0"/>
    <col customWidth="1" min="5" max="6" width="16.0"/>
    <col customWidth="1" min="7" max="7" width="15.0"/>
    <col customWidth="1" min="8" max="8" width="16.0"/>
    <col customWidth="1" min="9" max="9" width="15.0"/>
    <col customWidth="1" min="10" max="10" width="53.0"/>
    <col customWidth="1" min="11" max="26" width="8.63"/>
  </cols>
  <sheetData>
    <row r="1" ht="30.0" customHeight="1">
      <c r="A1" s="1" t="s">
        <v>281</v>
      </c>
    </row>
    <row r="2" ht="27.75" customHeight="1">
      <c r="A2" s="3" t="s">
        <v>282</v>
      </c>
    </row>
    <row r="3">
      <c r="A3" s="4"/>
      <c r="B3" s="4"/>
      <c r="C3" s="4"/>
      <c r="D3" s="4"/>
      <c r="E3" s="4"/>
      <c r="F3" s="4"/>
      <c r="G3" s="4"/>
      <c r="H3" s="4"/>
      <c r="I3" s="4"/>
      <c r="J3" s="4"/>
    </row>
    <row r="4">
      <c r="A4" s="12" t="s">
        <v>285</v>
      </c>
      <c r="B4" s="12" t="s">
        <v>286</v>
      </c>
      <c r="C4" s="4" t="s">
        <v>287</v>
      </c>
      <c r="D4" s="27" t="s">
        <v>288</v>
      </c>
      <c r="E4" s="28"/>
      <c r="F4" s="28"/>
      <c r="G4" s="28"/>
      <c r="H4" s="28"/>
      <c r="I4" s="28"/>
      <c r="J4" s="29"/>
    </row>
    <row r="5">
      <c r="A5" s="46">
        <v>0.05</v>
      </c>
      <c r="B5" s="47">
        <v>2027.0</v>
      </c>
      <c r="C5" s="4" t="s">
        <v>291</v>
      </c>
      <c r="D5" s="34"/>
      <c r="E5" s="35"/>
      <c r="F5" s="35"/>
      <c r="G5" s="35"/>
      <c r="H5" s="35"/>
      <c r="I5" s="35"/>
      <c r="J5" s="36"/>
    </row>
    <row r="6">
      <c r="A6" s="4"/>
      <c r="B6" s="4"/>
      <c r="C6" s="4"/>
      <c r="D6" s="4"/>
      <c r="E6" s="4"/>
      <c r="F6" s="4"/>
      <c r="G6" s="4"/>
      <c r="H6" s="4"/>
      <c r="I6" s="4"/>
      <c r="J6" s="4"/>
    </row>
    <row r="7">
      <c r="A7" s="12" t="s">
        <v>292</v>
      </c>
      <c r="B7" s="12" t="s">
        <v>294</v>
      </c>
      <c r="C7" s="12" t="s">
        <v>296</v>
      </c>
      <c r="D7" s="12" t="s">
        <v>297</v>
      </c>
      <c r="E7" s="12" t="s">
        <v>298</v>
      </c>
      <c r="F7" s="12" t="s">
        <v>299</v>
      </c>
      <c r="G7" s="12" t="s">
        <v>300</v>
      </c>
      <c r="H7" s="12" t="s">
        <v>301</v>
      </c>
      <c r="I7" s="12" t="s">
        <v>234</v>
      </c>
      <c r="J7" s="12" t="s">
        <v>302</v>
      </c>
    </row>
    <row r="8">
      <c r="A8" s="15" t="s">
        <v>303</v>
      </c>
      <c r="B8" s="15" t="s">
        <v>304</v>
      </c>
      <c r="C8" s="15">
        <v>1.0</v>
      </c>
      <c r="D8" s="15" t="s">
        <v>305</v>
      </c>
      <c r="E8" s="44"/>
      <c r="F8" s="44"/>
      <c r="G8" s="48"/>
      <c r="H8" s="17" t="s">
        <v>43</v>
      </c>
      <c r="I8" s="17"/>
      <c r="J8" s="15" t="s">
        <v>308</v>
      </c>
    </row>
    <row r="9">
      <c r="A9" s="20" t="s">
        <v>309</v>
      </c>
      <c r="B9" s="20" t="s">
        <v>304</v>
      </c>
      <c r="C9" s="20">
        <v>1.0</v>
      </c>
      <c r="D9" s="20" t="s">
        <v>305</v>
      </c>
      <c r="E9" s="45"/>
      <c r="F9" s="45"/>
      <c r="G9" s="38"/>
      <c r="H9" s="21" t="s">
        <v>43</v>
      </c>
      <c r="I9" s="21"/>
      <c r="J9" s="20" t="s">
        <v>311</v>
      </c>
    </row>
    <row r="10">
      <c r="A10" s="20" t="s">
        <v>313</v>
      </c>
      <c r="B10" s="20" t="s">
        <v>304</v>
      </c>
      <c r="C10" s="20">
        <v>-1.0</v>
      </c>
      <c r="D10" s="20" t="s">
        <v>305</v>
      </c>
      <c r="E10" s="45"/>
      <c r="F10" s="45"/>
      <c r="G10" s="38"/>
      <c r="H10" s="21" t="s">
        <v>43</v>
      </c>
      <c r="I10" s="21"/>
      <c r="J10" s="20" t="s">
        <v>314</v>
      </c>
    </row>
    <row r="11">
      <c r="A11" s="20" t="s">
        <v>315</v>
      </c>
      <c r="B11" s="20" t="s">
        <v>304</v>
      </c>
      <c r="C11" s="20">
        <v>-1.0</v>
      </c>
      <c r="D11" s="20" t="s">
        <v>305</v>
      </c>
      <c r="E11" s="45"/>
      <c r="F11" s="45"/>
      <c r="G11" s="38"/>
      <c r="H11" s="21" t="s">
        <v>43</v>
      </c>
      <c r="I11" s="21"/>
      <c r="J11" s="20" t="s">
        <v>318</v>
      </c>
    </row>
    <row r="12">
      <c r="A12" s="20" t="s">
        <v>319</v>
      </c>
      <c r="B12" s="20" t="s">
        <v>304</v>
      </c>
      <c r="C12" s="20">
        <v>-1.0</v>
      </c>
      <c r="D12" s="20" t="s">
        <v>305</v>
      </c>
      <c r="E12" s="45"/>
      <c r="F12" s="45"/>
      <c r="G12" s="38"/>
      <c r="H12" s="21" t="s">
        <v>43</v>
      </c>
      <c r="I12" s="21"/>
      <c r="J12" s="20" t="s">
        <v>321</v>
      </c>
    </row>
    <row r="13">
      <c r="A13" s="20" t="s">
        <v>323</v>
      </c>
      <c r="B13" s="20" t="s">
        <v>304</v>
      </c>
      <c r="C13" s="20">
        <v>1.0</v>
      </c>
      <c r="D13" s="20" t="s">
        <v>305</v>
      </c>
      <c r="E13" s="45"/>
      <c r="F13" s="45"/>
      <c r="G13" s="38"/>
      <c r="H13" s="21" t="s">
        <v>43</v>
      </c>
      <c r="I13" s="21"/>
      <c r="J13" s="20" t="s">
        <v>325</v>
      </c>
    </row>
    <row r="14">
      <c r="A14" s="20" t="s">
        <v>326</v>
      </c>
      <c r="B14" s="20" t="s">
        <v>304</v>
      </c>
      <c r="C14" s="20">
        <v>-1.0</v>
      </c>
      <c r="D14" s="20" t="s">
        <v>305</v>
      </c>
      <c r="E14" s="45"/>
      <c r="F14" s="45"/>
      <c r="G14" s="38"/>
      <c r="H14" s="21" t="s">
        <v>43</v>
      </c>
      <c r="I14" s="21"/>
      <c r="J14" s="20" t="s">
        <v>329</v>
      </c>
    </row>
    <row r="15">
      <c r="A15" s="20" t="s">
        <v>330</v>
      </c>
      <c r="B15" s="20" t="s">
        <v>331</v>
      </c>
      <c r="C15" s="20">
        <v>1.0</v>
      </c>
      <c r="D15" s="20" t="s">
        <v>305</v>
      </c>
      <c r="E15" s="45"/>
      <c r="F15" s="45"/>
      <c r="G15" s="38"/>
      <c r="H15" s="21" t="s">
        <v>43</v>
      </c>
      <c r="I15" s="21"/>
      <c r="J15" s="20" t="s">
        <v>334</v>
      </c>
    </row>
    <row r="16">
      <c r="A16" s="20" t="s">
        <v>335</v>
      </c>
      <c r="B16" s="20" t="s">
        <v>331</v>
      </c>
      <c r="C16" s="20">
        <v>-1.0</v>
      </c>
      <c r="D16" s="20" t="s">
        <v>305</v>
      </c>
      <c r="E16" s="45"/>
      <c r="F16" s="45"/>
      <c r="G16" s="38"/>
      <c r="H16" s="21" t="s">
        <v>43</v>
      </c>
      <c r="I16" s="21"/>
      <c r="J16" s="20" t="s">
        <v>339</v>
      </c>
    </row>
    <row r="17">
      <c r="A17" s="20" t="s">
        <v>340</v>
      </c>
      <c r="B17" s="20" t="s">
        <v>331</v>
      </c>
      <c r="C17" s="20">
        <v>-1.0</v>
      </c>
      <c r="D17" s="20" t="s">
        <v>305</v>
      </c>
      <c r="E17" s="45"/>
      <c r="F17" s="45"/>
      <c r="G17" s="38"/>
      <c r="H17" s="21" t="s">
        <v>43</v>
      </c>
      <c r="I17" s="21"/>
      <c r="J17" s="20" t="s">
        <v>342</v>
      </c>
    </row>
    <row r="18">
      <c r="A18" s="20" t="s">
        <v>343</v>
      </c>
      <c r="B18" s="20" t="s">
        <v>331</v>
      </c>
      <c r="C18" s="20">
        <v>-1.0</v>
      </c>
      <c r="D18" s="20" t="s">
        <v>305</v>
      </c>
      <c r="E18" s="45"/>
      <c r="F18" s="45"/>
      <c r="G18" s="38"/>
      <c r="H18" s="21" t="s">
        <v>43</v>
      </c>
      <c r="I18" s="21"/>
      <c r="J18" s="20" t="s">
        <v>346</v>
      </c>
    </row>
    <row r="19">
      <c r="A19" s="20" t="s">
        <v>348</v>
      </c>
      <c r="B19" s="20" t="s">
        <v>349</v>
      </c>
      <c r="C19" s="20">
        <v>1.0</v>
      </c>
      <c r="D19" s="20" t="s">
        <v>305</v>
      </c>
      <c r="E19" s="45"/>
      <c r="F19" s="45"/>
      <c r="G19" s="38"/>
      <c r="H19" s="21" t="s">
        <v>43</v>
      </c>
      <c r="I19" s="21"/>
      <c r="J19" s="20" t="s">
        <v>350</v>
      </c>
    </row>
    <row r="20">
      <c r="A20" s="20" t="s">
        <v>351</v>
      </c>
      <c r="B20" s="20" t="s">
        <v>349</v>
      </c>
      <c r="C20" s="20">
        <v>1.0</v>
      </c>
      <c r="D20" s="20" t="s">
        <v>305</v>
      </c>
      <c r="E20" s="45"/>
      <c r="F20" s="45"/>
      <c r="G20" s="38"/>
      <c r="H20" s="21" t="s">
        <v>43</v>
      </c>
      <c r="I20" s="21"/>
      <c r="J20" s="20" t="s">
        <v>355</v>
      </c>
    </row>
    <row r="21" ht="15.75" customHeight="1">
      <c r="A21" s="20" t="s">
        <v>356</v>
      </c>
      <c r="B21" s="20" t="s">
        <v>349</v>
      </c>
      <c r="C21" s="20">
        <v>-1.0</v>
      </c>
      <c r="D21" s="20" t="s">
        <v>305</v>
      </c>
      <c r="E21" s="45"/>
      <c r="F21" s="45"/>
      <c r="G21" s="38"/>
      <c r="H21" s="21" t="s">
        <v>43</v>
      </c>
      <c r="I21" s="21"/>
      <c r="J21" s="20" t="s">
        <v>358</v>
      </c>
    </row>
    <row r="22" ht="15.75" customHeight="1">
      <c r="A22" s="20" t="s">
        <v>359</v>
      </c>
      <c r="B22" s="20" t="s">
        <v>349</v>
      </c>
      <c r="C22" s="20">
        <v>-1.0</v>
      </c>
      <c r="D22" s="20" t="s">
        <v>305</v>
      </c>
      <c r="E22" s="45"/>
      <c r="F22" s="45"/>
      <c r="G22" s="38"/>
      <c r="H22" s="21" t="s">
        <v>43</v>
      </c>
      <c r="I22" s="21"/>
      <c r="J22" s="20" t="s">
        <v>365</v>
      </c>
    </row>
    <row r="23" ht="15.75" customHeight="1">
      <c r="A23" s="20" t="s">
        <v>366</v>
      </c>
      <c r="B23" s="20" t="s">
        <v>349</v>
      </c>
      <c r="C23" s="20">
        <v>-1.0</v>
      </c>
      <c r="D23" s="20" t="s">
        <v>305</v>
      </c>
      <c r="E23" s="45"/>
      <c r="F23" s="45"/>
      <c r="G23" s="38"/>
      <c r="H23" s="21" t="s">
        <v>43</v>
      </c>
      <c r="I23" s="21"/>
      <c r="J23" s="20" t="s">
        <v>368</v>
      </c>
    </row>
    <row r="24" ht="15.75" customHeight="1">
      <c r="A24" s="20" t="s">
        <v>369</v>
      </c>
      <c r="B24" s="20" t="s">
        <v>349</v>
      </c>
      <c r="C24" s="20">
        <v>-1.0</v>
      </c>
      <c r="D24" s="20" t="s">
        <v>305</v>
      </c>
      <c r="E24" s="45"/>
      <c r="F24" s="45"/>
      <c r="G24" s="38"/>
      <c r="H24" s="21" t="s">
        <v>43</v>
      </c>
      <c r="I24" s="21"/>
      <c r="J24" s="20" t="s">
        <v>371</v>
      </c>
    </row>
    <row r="25" ht="15.75" customHeight="1">
      <c r="A25" s="20" t="s">
        <v>372</v>
      </c>
      <c r="B25" s="20" t="s">
        <v>349</v>
      </c>
      <c r="C25" s="20">
        <v>1.0</v>
      </c>
      <c r="D25" s="20" t="s">
        <v>305</v>
      </c>
      <c r="E25" s="45"/>
      <c r="F25" s="45"/>
      <c r="G25" s="38"/>
      <c r="H25" s="21" t="s">
        <v>43</v>
      </c>
      <c r="I25" s="21"/>
      <c r="J25" s="20" t="s">
        <v>373</v>
      </c>
    </row>
    <row r="26" ht="15.75" customHeight="1">
      <c r="A26" s="20" t="s">
        <v>374</v>
      </c>
      <c r="B26" s="20" t="s">
        <v>375</v>
      </c>
      <c r="C26" s="20">
        <v>1.0</v>
      </c>
      <c r="D26" s="20" t="s">
        <v>305</v>
      </c>
      <c r="E26" s="45"/>
      <c r="F26" s="45"/>
      <c r="G26" s="38"/>
      <c r="H26" s="21" t="s">
        <v>43</v>
      </c>
      <c r="I26" s="21"/>
      <c r="J26" s="20" t="s">
        <v>377</v>
      </c>
    </row>
    <row r="27" ht="15.75" customHeight="1">
      <c r="A27" s="20" t="s">
        <v>378</v>
      </c>
      <c r="B27" s="20" t="s">
        <v>379</v>
      </c>
      <c r="C27" s="20">
        <v>1.0</v>
      </c>
      <c r="D27" s="20" t="s">
        <v>380</v>
      </c>
      <c r="E27" s="45"/>
      <c r="F27" s="45"/>
      <c r="G27" s="38"/>
      <c r="H27" s="21" t="s">
        <v>43</v>
      </c>
      <c r="I27" s="21"/>
      <c r="J27" s="20" t="s">
        <v>382</v>
      </c>
    </row>
    <row r="28" ht="15.75" customHeight="1">
      <c r="A28" s="18" t="s">
        <v>383</v>
      </c>
      <c r="B28" s="18" t="s">
        <v>379</v>
      </c>
      <c r="C28" s="18">
        <v>1.0</v>
      </c>
      <c r="D28" s="18" t="s">
        <v>380</v>
      </c>
      <c r="E28" s="50"/>
      <c r="F28" s="50"/>
      <c r="G28" s="56"/>
      <c r="H28" s="26" t="s">
        <v>43</v>
      </c>
      <c r="I28" s="26"/>
      <c r="J28" s="18" t="s">
        <v>384</v>
      </c>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J1"/>
    <mergeCell ref="A2:J2"/>
    <mergeCell ref="D4:J5"/>
  </mergeCells>
  <conditionalFormatting sqref="H8:H28">
    <cfRule type="containsText" dxfId="0" priority="1" operator="containsText" text="ESTIMATE">
      <formula>NOT(ISERROR(SEARCH(("ESTIMATE"),(H8))))</formula>
    </cfRule>
  </conditionalFormatting>
  <conditionalFormatting sqref="H8:H28">
    <cfRule type="containsText" dxfId="3" priority="2" operator="containsText" text="UNKNOWN">
      <formula>NOT(ISERROR(SEARCH(("UNKNOWN"),(H8))))</formula>
    </cfRule>
  </conditionalFormatting>
  <conditionalFormatting sqref="H8:H28">
    <cfRule type="containsText" dxfId="0" priority="3" operator="containsText" text="CLAIM">
      <formula>NOT(ISERROR(SEARCH(("CLAIM"),(H8))))</formula>
    </cfRule>
  </conditionalFormatting>
  <conditionalFormatting sqref="H8:H28">
    <cfRule type="containsText" dxfId="2" priority="4" operator="containsText" text="FACT">
      <formula>NOT(ISERROR(SEARCH(("FACT"),(H8))))</formula>
    </cfRule>
  </conditionalFormatting>
  <dataValidations>
    <dataValidation type="list" allowBlank="1" sqref="H8:H28">
      <formula1>"FACT,ESTIMATE,CLAIM,UNKNOWN"</formula1>
    </dataValidation>
    <dataValidation type="list" allowBlank="1" sqref="D8:D28">
      <formula1>"Yes,No"</formula1>
    </dataValidation>
  </dataValidations>
  <printOptions/>
  <pageMargins bottom="0.75" footer="0.0" header="0.0" left="0.7" right="0.7" top="0.75"/>
  <pageSetup orientation="landscape"/>
  <drawing r:id="rId4"/>
  <legacyDrawing r:id="rId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7.0"/>
    <col customWidth="1" min="2" max="2" width="29.0"/>
    <col customWidth="1" min="3" max="3" width="12.0"/>
    <col customWidth="1" min="4" max="24" width="15.0"/>
    <col customWidth="1" min="25" max="26" width="8.63"/>
  </cols>
  <sheetData>
    <row r="1" ht="30.0" customHeight="1">
      <c r="A1" s="1" t="s">
        <v>337</v>
      </c>
    </row>
    <row r="2" ht="27.75" customHeight="1">
      <c r="A2" s="3" t="s">
        <v>341</v>
      </c>
    </row>
    <row r="3">
      <c r="A3" s="4"/>
      <c r="B3" s="4"/>
      <c r="C3" s="4"/>
      <c r="D3" s="4"/>
      <c r="E3" s="4"/>
      <c r="F3" s="4"/>
      <c r="G3" s="4"/>
      <c r="H3" s="4"/>
      <c r="I3" s="4"/>
      <c r="J3" s="4"/>
      <c r="K3" s="4"/>
      <c r="L3" s="4"/>
      <c r="M3" s="4"/>
      <c r="N3" s="4"/>
      <c r="O3" s="4"/>
      <c r="P3" s="4"/>
      <c r="Q3" s="4"/>
      <c r="R3" s="4"/>
      <c r="S3" s="4"/>
      <c r="T3" s="4"/>
      <c r="U3" s="4"/>
      <c r="V3" s="4"/>
      <c r="W3" s="4"/>
      <c r="X3" s="4"/>
    </row>
    <row r="4">
      <c r="A4" s="49" t="s">
        <v>357</v>
      </c>
    </row>
    <row r="5">
      <c r="A5" s="4"/>
      <c r="B5" s="4"/>
      <c r="C5" s="4"/>
      <c r="D5" s="4"/>
      <c r="E5" s="4"/>
      <c r="F5" s="4"/>
      <c r="G5" s="4"/>
      <c r="H5" s="4"/>
      <c r="I5" s="4"/>
      <c r="J5" s="4"/>
      <c r="K5" s="4"/>
      <c r="L5" s="4"/>
      <c r="M5" s="4"/>
      <c r="N5" s="4"/>
      <c r="O5" s="4"/>
      <c r="P5" s="4"/>
      <c r="Q5" s="4"/>
      <c r="R5" s="4"/>
      <c r="S5" s="4"/>
      <c r="T5" s="4"/>
      <c r="U5" s="4"/>
      <c r="V5" s="4"/>
      <c r="W5" s="4"/>
      <c r="X5" s="4"/>
    </row>
    <row r="6">
      <c r="A6" s="51" t="s">
        <v>292</v>
      </c>
      <c r="B6" s="51" t="s">
        <v>294</v>
      </c>
      <c r="C6" s="51" t="s">
        <v>296</v>
      </c>
      <c r="D6" s="51">
        <v>0.0</v>
      </c>
      <c r="E6" s="51">
        <v>1.0</v>
      </c>
      <c r="F6" s="51">
        <v>2.0</v>
      </c>
      <c r="G6" s="51">
        <v>3.0</v>
      </c>
      <c r="H6" s="51">
        <v>4.0</v>
      </c>
      <c r="I6" s="51">
        <v>5.0</v>
      </c>
      <c r="J6" s="51">
        <v>6.0</v>
      </c>
      <c r="K6" s="51">
        <v>7.0</v>
      </c>
      <c r="L6" s="51">
        <v>8.0</v>
      </c>
      <c r="M6" s="51">
        <v>9.0</v>
      </c>
      <c r="N6" s="51">
        <v>10.0</v>
      </c>
      <c r="O6" s="51">
        <v>11.0</v>
      </c>
      <c r="P6" s="51">
        <v>12.0</v>
      </c>
      <c r="Q6" s="51">
        <v>13.0</v>
      </c>
      <c r="R6" s="51">
        <v>14.0</v>
      </c>
      <c r="S6" s="51">
        <v>15.0</v>
      </c>
      <c r="T6" s="51">
        <v>16.0</v>
      </c>
      <c r="U6" s="51">
        <v>17.0</v>
      </c>
      <c r="V6" s="51">
        <v>18.0</v>
      </c>
      <c r="W6" s="51">
        <v>19.0</v>
      </c>
      <c r="X6" s="51">
        <v>20.0</v>
      </c>
    </row>
    <row r="7">
      <c r="A7" s="53"/>
      <c r="B7" s="53"/>
      <c r="C7" s="53"/>
      <c r="D7" s="55">
        <f>'Fiscal Inputs'!$B$5</f>
        <v>2027</v>
      </c>
      <c r="E7" s="55">
        <f>'Fiscal Inputs'!$B$5+1</f>
        <v>2028</v>
      </c>
      <c r="F7" s="55">
        <f>'Fiscal Inputs'!$B$5+2</f>
        <v>2029</v>
      </c>
      <c r="G7" s="55">
        <f>'Fiscal Inputs'!$B$5+3</f>
        <v>2030</v>
      </c>
      <c r="H7" s="55">
        <f>'Fiscal Inputs'!$B$5+4</f>
        <v>2031</v>
      </c>
      <c r="I7" s="55">
        <f>'Fiscal Inputs'!$B$5+5</f>
        <v>2032</v>
      </c>
      <c r="J7" s="55">
        <f>'Fiscal Inputs'!$B$5+6</f>
        <v>2033</v>
      </c>
      <c r="K7" s="55">
        <f>'Fiscal Inputs'!$B$5+7</f>
        <v>2034</v>
      </c>
      <c r="L7" s="55">
        <f>'Fiscal Inputs'!$B$5+8</f>
        <v>2035</v>
      </c>
      <c r="M7" s="55">
        <f>'Fiscal Inputs'!$B$5+9</f>
        <v>2036</v>
      </c>
      <c r="N7" s="55">
        <f>'Fiscal Inputs'!$B$5+10</f>
        <v>2037</v>
      </c>
      <c r="O7" s="55">
        <f>'Fiscal Inputs'!$B$5+11</f>
        <v>2038</v>
      </c>
      <c r="P7" s="55">
        <f>'Fiscal Inputs'!$B$5+12</f>
        <v>2039</v>
      </c>
      <c r="Q7" s="55">
        <f>'Fiscal Inputs'!$B$5+13</f>
        <v>2040</v>
      </c>
      <c r="R7" s="55">
        <f>'Fiscal Inputs'!$B$5+14</f>
        <v>2041</v>
      </c>
      <c r="S7" s="55">
        <f>'Fiscal Inputs'!$B$5+15</f>
        <v>2042</v>
      </c>
      <c r="T7" s="55">
        <f>'Fiscal Inputs'!$B$5+16</f>
        <v>2043</v>
      </c>
      <c r="U7" s="55">
        <f>'Fiscal Inputs'!$B$5+17</f>
        <v>2044</v>
      </c>
      <c r="V7" s="55">
        <f>'Fiscal Inputs'!$B$5+18</f>
        <v>2045</v>
      </c>
      <c r="W7" s="55">
        <f>'Fiscal Inputs'!$B$5+19</f>
        <v>2046</v>
      </c>
      <c r="X7" s="55">
        <f>'Fiscal Inputs'!$B$5+20</f>
        <v>2047</v>
      </c>
    </row>
    <row r="8">
      <c r="A8" s="15" t="s">
        <v>303</v>
      </c>
      <c r="B8" s="15" t="s">
        <v>304</v>
      </c>
      <c r="C8" s="15">
        <v>1.0</v>
      </c>
      <c r="D8" s="59">
        <f>IF('Fiscal Inputs'!$E$8="",0,'Fiscal Inputs'!$E$8*'Fiscal Inputs'!$C$8)</f>
        <v>0</v>
      </c>
      <c r="E8" s="59">
        <f>IF('Fiscal Inputs'!$F$8="",0,'Fiscal Inputs'!$F$8*'Fiscal Inputs'!$C$8)</f>
        <v>0</v>
      </c>
      <c r="F8" s="59">
        <f>E8*(1+IF('Fiscal Inputs'!$G$8="",0,'Fiscal Inputs'!$G$8))</f>
        <v>0</v>
      </c>
      <c r="G8" s="59">
        <f>F8*(1+IF('Fiscal Inputs'!$G$8="",0,'Fiscal Inputs'!$G$8))</f>
        <v>0</v>
      </c>
      <c r="H8" s="59">
        <f>G8*(1+IF('Fiscal Inputs'!$G$8="",0,'Fiscal Inputs'!$G$8))</f>
        <v>0</v>
      </c>
      <c r="I8" s="59">
        <f>H8*(1+IF('Fiscal Inputs'!$G$8="",0,'Fiscal Inputs'!$G$8))</f>
        <v>0</v>
      </c>
      <c r="J8" s="59">
        <f>I8*(1+IF('Fiscal Inputs'!$G$8="",0,'Fiscal Inputs'!$G$8))</f>
        <v>0</v>
      </c>
      <c r="K8" s="59">
        <f>J8*(1+IF('Fiscal Inputs'!$G$8="",0,'Fiscal Inputs'!$G$8))</f>
        <v>0</v>
      </c>
      <c r="L8" s="59">
        <f>K8*(1+IF('Fiscal Inputs'!$G$8="",0,'Fiscal Inputs'!$G$8))</f>
        <v>0</v>
      </c>
      <c r="M8" s="59">
        <f>L8*(1+IF('Fiscal Inputs'!$G$8="",0,'Fiscal Inputs'!$G$8))</f>
        <v>0</v>
      </c>
      <c r="N8" s="59">
        <f>M8*(1+IF('Fiscal Inputs'!$G$8="",0,'Fiscal Inputs'!$G$8))</f>
        <v>0</v>
      </c>
      <c r="O8" s="59">
        <f>N8*(1+IF('Fiscal Inputs'!$G$8="",0,'Fiscal Inputs'!$G$8))</f>
        <v>0</v>
      </c>
      <c r="P8" s="59">
        <f>O8*(1+IF('Fiscal Inputs'!$G$8="",0,'Fiscal Inputs'!$G$8))</f>
        <v>0</v>
      </c>
      <c r="Q8" s="59">
        <f>P8*(1+IF('Fiscal Inputs'!$G$8="",0,'Fiscal Inputs'!$G$8))</f>
        <v>0</v>
      </c>
      <c r="R8" s="59">
        <f>Q8*(1+IF('Fiscal Inputs'!$G$8="",0,'Fiscal Inputs'!$G$8))</f>
        <v>0</v>
      </c>
      <c r="S8" s="59">
        <f>R8*(1+IF('Fiscal Inputs'!$G$8="",0,'Fiscal Inputs'!$G$8))</f>
        <v>0</v>
      </c>
      <c r="T8" s="59">
        <f>S8*(1+IF('Fiscal Inputs'!$G$8="",0,'Fiscal Inputs'!$G$8))</f>
        <v>0</v>
      </c>
      <c r="U8" s="59">
        <f>T8*(1+IF('Fiscal Inputs'!$G$8="",0,'Fiscal Inputs'!$G$8))</f>
        <v>0</v>
      </c>
      <c r="V8" s="59">
        <f>U8*(1+IF('Fiscal Inputs'!$G$8="",0,'Fiscal Inputs'!$G$8))</f>
        <v>0</v>
      </c>
      <c r="W8" s="59">
        <f>V8*(1+IF('Fiscal Inputs'!$G$8="",0,'Fiscal Inputs'!$G$8))</f>
        <v>0</v>
      </c>
      <c r="X8" s="59">
        <f>W8*(1+IF('Fiscal Inputs'!$G$8="",0,'Fiscal Inputs'!$G$8))</f>
        <v>0</v>
      </c>
    </row>
    <row r="9">
      <c r="A9" s="20" t="s">
        <v>309</v>
      </c>
      <c r="B9" s="20" t="s">
        <v>304</v>
      </c>
      <c r="C9" s="20">
        <v>1.0</v>
      </c>
      <c r="D9" s="61">
        <f>IF('Fiscal Inputs'!$E$9="",0,'Fiscal Inputs'!$E$9*'Fiscal Inputs'!$C$9)</f>
        <v>0</v>
      </c>
      <c r="E9" s="61">
        <f>IF('Fiscal Inputs'!$F$9="",0,'Fiscal Inputs'!$F$9*'Fiscal Inputs'!$C$9)</f>
        <v>0</v>
      </c>
      <c r="F9" s="61">
        <f>E9*(1+IF('Fiscal Inputs'!$G$9="",0,'Fiscal Inputs'!$G$9))</f>
        <v>0</v>
      </c>
      <c r="G9" s="61">
        <f>F9*(1+IF('Fiscal Inputs'!$G$9="",0,'Fiscal Inputs'!$G$9))</f>
        <v>0</v>
      </c>
      <c r="H9" s="61">
        <f>G9*(1+IF('Fiscal Inputs'!$G$9="",0,'Fiscal Inputs'!$G$9))</f>
        <v>0</v>
      </c>
      <c r="I9" s="61">
        <f>H9*(1+IF('Fiscal Inputs'!$G$9="",0,'Fiscal Inputs'!$G$9))</f>
        <v>0</v>
      </c>
      <c r="J9" s="61">
        <f>I9*(1+IF('Fiscal Inputs'!$G$9="",0,'Fiscal Inputs'!$G$9))</f>
        <v>0</v>
      </c>
      <c r="K9" s="61">
        <f>J9*(1+IF('Fiscal Inputs'!$G$9="",0,'Fiscal Inputs'!$G$9))</f>
        <v>0</v>
      </c>
      <c r="L9" s="61">
        <f>K9*(1+IF('Fiscal Inputs'!$G$9="",0,'Fiscal Inputs'!$G$9))</f>
        <v>0</v>
      </c>
      <c r="M9" s="61">
        <f>L9*(1+IF('Fiscal Inputs'!$G$9="",0,'Fiscal Inputs'!$G$9))</f>
        <v>0</v>
      </c>
      <c r="N9" s="61">
        <f>M9*(1+IF('Fiscal Inputs'!$G$9="",0,'Fiscal Inputs'!$G$9))</f>
        <v>0</v>
      </c>
      <c r="O9" s="61">
        <f>N9*(1+IF('Fiscal Inputs'!$G$9="",0,'Fiscal Inputs'!$G$9))</f>
        <v>0</v>
      </c>
      <c r="P9" s="61">
        <f>O9*(1+IF('Fiscal Inputs'!$G$9="",0,'Fiscal Inputs'!$G$9))</f>
        <v>0</v>
      </c>
      <c r="Q9" s="61">
        <f>P9*(1+IF('Fiscal Inputs'!$G$9="",0,'Fiscal Inputs'!$G$9))</f>
        <v>0</v>
      </c>
      <c r="R9" s="61">
        <f>Q9*(1+IF('Fiscal Inputs'!$G$9="",0,'Fiscal Inputs'!$G$9))</f>
        <v>0</v>
      </c>
      <c r="S9" s="61">
        <f>R9*(1+IF('Fiscal Inputs'!$G$9="",0,'Fiscal Inputs'!$G$9))</f>
        <v>0</v>
      </c>
      <c r="T9" s="61">
        <f>S9*(1+IF('Fiscal Inputs'!$G$9="",0,'Fiscal Inputs'!$G$9))</f>
        <v>0</v>
      </c>
      <c r="U9" s="61">
        <f>T9*(1+IF('Fiscal Inputs'!$G$9="",0,'Fiscal Inputs'!$G$9))</f>
        <v>0</v>
      </c>
      <c r="V9" s="61">
        <f>U9*(1+IF('Fiscal Inputs'!$G$9="",0,'Fiscal Inputs'!$G$9))</f>
        <v>0</v>
      </c>
      <c r="W9" s="61">
        <f>V9*(1+IF('Fiscal Inputs'!$G$9="",0,'Fiscal Inputs'!$G$9))</f>
        <v>0</v>
      </c>
      <c r="X9" s="61">
        <f>W9*(1+IF('Fiscal Inputs'!$G$9="",0,'Fiscal Inputs'!$G$9))</f>
        <v>0</v>
      </c>
    </row>
    <row r="10">
      <c r="A10" s="20" t="s">
        <v>313</v>
      </c>
      <c r="B10" s="20" t="s">
        <v>304</v>
      </c>
      <c r="C10" s="20">
        <v>-1.0</v>
      </c>
      <c r="D10" s="61">
        <f>IF('Fiscal Inputs'!$E$10="",0,'Fiscal Inputs'!$E$10*'Fiscal Inputs'!$C$10)</f>
        <v>0</v>
      </c>
      <c r="E10" s="61">
        <f>IF('Fiscal Inputs'!$F$10="",0,'Fiscal Inputs'!$F$10*'Fiscal Inputs'!$C$10)</f>
        <v>0</v>
      </c>
      <c r="F10" s="61">
        <f>E10*(1+IF('Fiscal Inputs'!$G$10="",0,'Fiscal Inputs'!$G$10))</f>
        <v>0</v>
      </c>
      <c r="G10" s="61">
        <f>F10*(1+IF('Fiscal Inputs'!$G$10="",0,'Fiscal Inputs'!$G$10))</f>
        <v>0</v>
      </c>
      <c r="H10" s="61">
        <f>G10*(1+IF('Fiscal Inputs'!$G$10="",0,'Fiscal Inputs'!$G$10))</f>
        <v>0</v>
      </c>
      <c r="I10" s="61">
        <f>H10*(1+IF('Fiscal Inputs'!$G$10="",0,'Fiscal Inputs'!$G$10))</f>
        <v>0</v>
      </c>
      <c r="J10" s="61">
        <f>I10*(1+IF('Fiscal Inputs'!$G$10="",0,'Fiscal Inputs'!$G$10))</f>
        <v>0</v>
      </c>
      <c r="K10" s="61">
        <f>J10*(1+IF('Fiscal Inputs'!$G$10="",0,'Fiscal Inputs'!$G$10))</f>
        <v>0</v>
      </c>
      <c r="L10" s="61">
        <f>K10*(1+IF('Fiscal Inputs'!$G$10="",0,'Fiscal Inputs'!$G$10))</f>
        <v>0</v>
      </c>
      <c r="M10" s="61">
        <f>L10*(1+IF('Fiscal Inputs'!$G$10="",0,'Fiscal Inputs'!$G$10))</f>
        <v>0</v>
      </c>
      <c r="N10" s="61">
        <f>M10*(1+IF('Fiscal Inputs'!$G$10="",0,'Fiscal Inputs'!$G$10))</f>
        <v>0</v>
      </c>
      <c r="O10" s="61">
        <f>N10*(1+IF('Fiscal Inputs'!$G$10="",0,'Fiscal Inputs'!$G$10))</f>
        <v>0</v>
      </c>
      <c r="P10" s="61">
        <f>O10*(1+IF('Fiscal Inputs'!$G$10="",0,'Fiscal Inputs'!$G$10))</f>
        <v>0</v>
      </c>
      <c r="Q10" s="61">
        <f>P10*(1+IF('Fiscal Inputs'!$G$10="",0,'Fiscal Inputs'!$G$10))</f>
        <v>0</v>
      </c>
      <c r="R10" s="61">
        <f>Q10*(1+IF('Fiscal Inputs'!$G$10="",0,'Fiscal Inputs'!$G$10))</f>
        <v>0</v>
      </c>
      <c r="S10" s="61">
        <f>R10*(1+IF('Fiscal Inputs'!$G$10="",0,'Fiscal Inputs'!$G$10))</f>
        <v>0</v>
      </c>
      <c r="T10" s="61">
        <f>S10*(1+IF('Fiscal Inputs'!$G$10="",0,'Fiscal Inputs'!$G$10))</f>
        <v>0</v>
      </c>
      <c r="U10" s="61">
        <f>T10*(1+IF('Fiscal Inputs'!$G$10="",0,'Fiscal Inputs'!$G$10))</f>
        <v>0</v>
      </c>
      <c r="V10" s="61">
        <f>U10*(1+IF('Fiscal Inputs'!$G$10="",0,'Fiscal Inputs'!$G$10))</f>
        <v>0</v>
      </c>
      <c r="W10" s="61">
        <f>V10*(1+IF('Fiscal Inputs'!$G$10="",0,'Fiscal Inputs'!$G$10))</f>
        <v>0</v>
      </c>
      <c r="X10" s="61">
        <f>W10*(1+IF('Fiscal Inputs'!$G$10="",0,'Fiscal Inputs'!$G$10))</f>
        <v>0</v>
      </c>
    </row>
    <row r="11">
      <c r="A11" s="20" t="s">
        <v>315</v>
      </c>
      <c r="B11" s="20" t="s">
        <v>304</v>
      </c>
      <c r="C11" s="20">
        <v>-1.0</v>
      </c>
      <c r="D11" s="61">
        <f>IF('Fiscal Inputs'!$E$11="",0,'Fiscal Inputs'!$E$11*'Fiscal Inputs'!$C$11)</f>
        <v>0</v>
      </c>
      <c r="E11" s="61">
        <f>IF('Fiscal Inputs'!$F$11="",0,'Fiscal Inputs'!$F$11*'Fiscal Inputs'!$C$11)</f>
        <v>0</v>
      </c>
      <c r="F11" s="61">
        <f>E11*(1+IF('Fiscal Inputs'!$G$11="",0,'Fiscal Inputs'!$G$11))</f>
        <v>0</v>
      </c>
      <c r="G11" s="61">
        <f>F11*(1+IF('Fiscal Inputs'!$G$11="",0,'Fiscal Inputs'!$G$11))</f>
        <v>0</v>
      </c>
      <c r="H11" s="61">
        <f>G11*(1+IF('Fiscal Inputs'!$G$11="",0,'Fiscal Inputs'!$G$11))</f>
        <v>0</v>
      </c>
      <c r="I11" s="61">
        <f>H11*(1+IF('Fiscal Inputs'!$G$11="",0,'Fiscal Inputs'!$G$11))</f>
        <v>0</v>
      </c>
      <c r="J11" s="61">
        <f>I11*(1+IF('Fiscal Inputs'!$G$11="",0,'Fiscal Inputs'!$G$11))</f>
        <v>0</v>
      </c>
      <c r="K11" s="61">
        <f>J11*(1+IF('Fiscal Inputs'!$G$11="",0,'Fiscal Inputs'!$G$11))</f>
        <v>0</v>
      </c>
      <c r="L11" s="61">
        <f>K11*(1+IF('Fiscal Inputs'!$G$11="",0,'Fiscal Inputs'!$G$11))</f>
        <v>0</v>
      </c>
      <c r="M11" s="61">
        <f>L11*(1+IF('Fiscal Inputs'!$G$11="",0,'Fiscal Inputs'!$G$11))</f>
        <v>0</v>
      </c>
      <c r="N11" s="61">
        <f>M11*(1+IF('Fiscal Inputs'!$G$11="",0,'Fiscal Inputs'!$G$11))</f>
        <v>0</v>
      </c>
      <c r="O11" s="61">
        <f>N11*(1+IF('Fiscal Inputs'!$G$11="",0,'Fiscal Inputs'!$G$11))</f>
        <v>0</v>
      </c>
      <c r="P11" s="61">
        <f>O11*(1+IF('Fiscal Inputs'!$G$11="",0,'Fiscal Inputs'!$G$11))</f>
        <v>0</v>
      </c>
      <c r="Q11" s="61">
        <f>P11*(1+IF('Fiscal Inputs'!$G$11="",0,'Fiscal Inputs'!$G$11))</f>
        <v>0</v>
      </c>
      <c r="R11" s="61">
        <f>Q11*(1+IF('Fiscal Inputs'!$G$11="",0,'Fiscal Inputs'!$G$11))</f>
        <v>0</v>
      </c>
      <c r="S11" s="61">
        <f>R11*(1+IF('Fiscal Inputs'!$G$11="",0,'Fiscal Inputs'!$G$11))</f>
        <v>0</v>
      </c>
      <c r="T11" s="61">
        <f>S11*(1+IF('Fiscal Inputs'!$G$11="",0,'Fiscal Inputs'!$G$11))</f>
        <v>0</v>
      </c>
      <c r="U11" s="61">
        <f>T11*(1+IF('Fiscal Inputs'!$G$11="",0,'Fiscal Inputs'!$G$11))</f>
        <v>0</v>
      </c>
      <c r="V11" s="61">
        <f>U11*(1+IF('Fiscal Inputs'!$G$11="",0,'Fiscal Inputs'!$G$11))</f>
        <v>0</v>
      </c>
      <c r="W11" s="61">
        <f>V11*(1+IF('Fiscal Inputs'!$G$11="",0,'Fiscal Inputs'!$G$11))</f>
        <v>0</v>
      </c>
      <c r="X11" s="61">
        <f>W11*(1+IF('Fiscal Inputs'!$G$11="",0,'Fiscal Inputs'!$G$11))</f>
        <v>0</v>
      </c>
    </row>
    <row r="12">
      <c r="A12" s="20" t="s">
        <v>319</v>
      </c>
      <c r="B12" s="20" t="s">
        <v>304</v>
      </c>
      <c r="C12" s="20">
        <v>-1.0</v>
      </c>
      <c r="D12" s="61">
        <f>IF('Fiscal Inputs'!$E$12="",0,'Fiscal Inputs'!$E$12*'Fiscal Inputs'!$C$12)</f>
        <v>0</v>
      </c>
      <c r="E12" s="61">
        <f>IF('Fiscal Inputs'!$F$12="",0,'Fiscal Inputs'!$F$12*'Fiscal Inputs'!$C$12)</f>
        <v>0</v>
      </c>
      <c r="F12" s="61">
        <f>E12*(1+IF('Fiscal Inputs'!$G$12="",0,'Fiscal Inputs'!$G$12))</f>
        <v>0</v>
      </c>
      <c r="G12" s="61">
        <f>F12*(1+IF('Fiscal Inputs'!$G$12="",0,'Fiscal Inputs'!$G$12))</f>
        <v>0</v>
      </c>
      <c r="H12" s="61">
        <f>G12*(1+IF('Fiscal Inputs'!$G$12="",0,'Fiscal Inputs'!$G$12))</f>
        <v>0</v>
      </c>
      <c r="I12" s="61">
        <f>H12*(1+IF('Fiscal Inputs'!$G$12="",0,'Fiscal Inputs'!$G$12))</f>
        <v>0</v>
      </c>
      <c r="J12" s="61">
        <f>I12*(1+IF('Fiscal Inputs'!$G$12="",0,'Fiscal Inputs'!$G$12))</f>
        <v>0</v>
      </c>
      <c r="K12" s="61">
        <f>J12*(1+IF('Fiscal Inputs'!$G$12="",0,'Fiscal Inputs'!$G$12))</f>
        <v>0</v>
      </c>
      <c r="L12" s="61">
        <f>K12*(1+IF('Fiscal Inputs'!$G$12="",0,'Fiscal Inputs'!$G$12))</f>
        <v>0</v>
      </c>
      <c r="M12" s="61">
        <f>L12*(1+IF('Fiscal Inputs'!$G$12="",0,'Fiscal Inputs'!$G$12))</f>
        <v>0</v>
      </c>
      <c r="N12" s="61">
        <f>M12*(1+IF('Fiscal Inputs'!$G$12="",0,'Fiscal Inputs'!$G$12))</f>
        <v>0</v>
      </c>
      <c r="O12" s="61">
        <f>N12*(1+IF('Fiscal Inputs'!$G$12="",0,'Fiscal Inputs'!$G$12))</f>
        <v>0</v>
      </c>
      <c r="P12" s="61">
        <f>O12*(1+IF('Fiscal Inputs'!$G$12="",0,'Fiscal Inputs'!$G$12))</f>
        <v>0</v>
      </c>
      <c r="Q12" s="61">
        <f>P12*(1+IF('Fiscal Inputs'!$G$12="",0,'Fiscal Inputs'!$G$12))</f>
        <v>0</v>
      </c>
      <c r="R12" s="61">
        <f>Q12*(1+IF('Fiscal Inputs'!$G$12="",0,'Fiscal Inputs'!$G$12))</f>
        <v>0</v>
      </c>
      <c r="S12" s="61">
        <f>R12*(1+IF('Fiscal Inputs'!$G$12="",0,'Fiscal Inputs'!$G$12))</f>
        <v>0</v>
      </c>
      <c r="T12" s="61">
        <f>S12*(1+IF('Fiscal Inputs'!$G$12="",0,'Fiscal Inputs'!$G$12))</f>
        <v>0</v>
      </c>
      <c r="U12" s="61">
        <f>T12*(1+IF('Fiscal Inputs'!$G$12="",0,'Fiscal Inputs'!$G$12))</f>
        <v>0</v>
      </c>
      <c r="V12" s="61">
        <f>U12*(1+IF('Fiscal Inputs'!$G$12="",0,'Fiscal Inputs'!$G$12))</f>
        <v>0</v>
      </c>
      <c r="W12" s="61">
        <f>V12*(1+IF('Fiscal Inputs'!$G$12="",0,'Fiscal Inputs'!$G$12))</f>
        <v>0</v>
      </c>
      <c r="X12" s="61">
        <f>W12*(1+IF('Fiscal Inputs'!$G$12="",0,'Fiscal Inputs'!$G$12))</f>
        <v>0</v>
      </c>
    </row>
    <row r="13">
      <c r="A13" s="20" t="s">
        <v>323</v>
      </c>
      <c r="B13" s="20" t="s">
        <v>304</v>
      </c>
      <c r="C13" s="20">
        <v>1.0</v>
      </c>
      <c r="D13" s="61">
        <f>IF('Fiscal Inputs'!$E$13="",0,'Fiscal Inputs'!$E$13*'Fiscal Inputs'!$C$13)</f>
        <v>0</v>
      </c>
      <c r="E13" s="61">
        <f>IF('Fiscal Inputs'!$F$13="",0,'Fiscal Inputs'!$F$13*'Fiscal Inputs'!$C$13)</f>
        <v>0</v>
      </c>
      <c r="F13" s="61">
        <f>E13*(1+IF('Fiscal Inputs'!$G$13="",0,'Fiscal Inputs'!$G$13))</f>
        <v>0</v>
      </c>
      <c r="G13" s="61">
        <f>F13*(1+IF('Fiscal Inputs'!$G$13="",0,'Fiscal Inputs'!$G$13))</f>
        <v>0</v>
      </c>
      <c r="H13" s="61">
        <f>G13*(1+IF('Fiscal Inputs'!$G$13="",0,'Fiscal Inputs'!$G$13))</f>
        <v>0</v>
      </c>
      <c r="I13" s="61">
        <f>H13*(1+IF('Fiscal Inputs'!$G$13="",0,'Fiscal Inputs'!$G$13))</f>
        <v>0</v>
      </c>
      <c r="J13" s="61">
        <f>I13*(1+IF('Fiscal Inputs'!$G$13="",0,'Fiscal Inputs'!$G$13))</f>
        <v>0</v>
      </c>
      <c r="K13" s="61">
        <f>J13*(1+IF('Fiscal Inputs'!$G$13="",0,'Fiscal Inputs'!$G$13))</f>
        <v>0</v>
      </c>
      <c r="L13" s="61">
        <f>K13*(1+IF('Fiscal Inputs'!$G$13="",0,'Fiscal Inputs'!$G$13))</f>
        <v>0</v>
      </c>
      <c r="M13" s="61">
        <f>L13*(1+IF('Fiscal Inputs'!$G$13="",0,'Fiscal Inputs'!$G$13))</f>
        <v>0</v>
      </c>
      <c r="N13" s="61">
        <f>M13*(1+IF('Fiscal Inputs'!$G$13="",0,'Fiscal Inputs'!$G$13))</f>
        <v>0</v>
      </c>
      <c r="O13" s="61">
        <f>N13*(1+IF('Fiscal Inputs'!$G$13="",0,'Fiscal Inputs'!$G$13))</f>
        <v>0</v>
      </c>
      <c r="P13" s="61">
        <f>O13*(1+IF('Fiscal Inputs'!$G$13="",0,'Fiscal Inputs'!$G$13))</f>
        <v>0</v>
      </c>
      <c r="Q13" s="61">
        <f>P13*(1+IF('Fiscal Inputs'!$G$13="",0,'Fiscal Inputs'!$G$13))</f>
        <v>0</v>
      </c>
      <c r="R13" s="61">
        <f>Q13*(1+IF('Fiscal Inputs'!$G$13="",0,'Fiscal Inputs'!$G$13))</f>
        <v>0</v>
      </c>
      <c r="S13" s="61">
        <f>R13*(1+IF('Fiscal Inputs'!$G$13="",0,'Fiscal Inputs'!$G$13))</f>
        <v>0</v>
      </c>
      <c r="T13" s="61">
        <f>S13*(1+IF('Fiscal Inputs'!$G$13="",0,'Fiscal Inputs'!$G$13))</f>
        <v>0</v>
      </c>
      <c r="U13" s="61">
        <f>T13*(1+IF('Fiscal Inputs'!$G$13="",0,'Fiscal Inputs'!$G$13))</f>
        <v>0</v>
      </c>
      <c r="V13" s="61">
        <f>U13*(1+IF('Fiscal Inputs'!$G$13="",0,'Fiscal Inputs'!$G$13))</f>
        <v>0</v>
      </c>
      <c r="W13" s="61">
        <f>V13*(1+IF('Fiscal Inputs'!$G$13="",0,'Fiscal Inputs'!$G$13))</f>
        <v>0</v>
      </c>
      <c r="X13" s="61">
        <f>W13*(1+IF('Fiscal Inputs'!$G$13="",0,'Fiscal Inputs'!$G$13))</f>
        <v>0</v>
      </c>
    </row>
    <row r="14">
      <c r="A14" s="20" t="s">
        <v>326</v>
      </c>
      <c r="B14" s="20" t="s">
        <v>304</v>
      </c>
      <c r="C14" s="20">
        <v>-1.0</v>
      </c>
      <c r="D14" s="61">
        <f>IF('Fiscal Inputs'!$E$14="",0,'Fiscal Inputs'!$E$14*'Fiscal Inputs'!$C$14)</f>
        <v>0</v>
      </c>
      <c r="E14" s="61">
        <f>IF('Fiscal Inputs'!$F$14="",0,'Fiscal Inputs'!$F$14*'Fiscal Inputs'!$C$14)</f>
        <v>0</v>
      </c>
      <c r="F14" s="61">
        <f>E14*(1+IF('Fiscal Inputs'!$G$14="",0,'Fiscal Inputs'!$G$14))</f>
        <v>0</v>
      </c>
      <c r="G14" s="61">
        <f>F14*(1+IF('Fiscal Inputs'!$G$14="",0,'Fiscal Inputs'!$G$14))</f>
        <v>0</v>
      </c>
      <c r="H14" s="61">
        <f>G14*(1+IF('Fiscal Inputs'!$G$14="",0,'Fiscal Inputs'!$G$14))</f>
        <v>0</v>
      </c>
      <c r="I14" s="61">
        <f>H14*(1+IF('Fiscal Inputs'!$G$14="",0,'Fiscal Inputs'!$G$14))</f>
        <v>0</v>
      </c>
      <c r="J14" s="61">
        <f>I14*(1+IF('Fiscal Inputs'!$G$14="",0,'Fiscal Inputs'!$G$14))</f>
        <v>0</v>
      </c>
      <c r="K14" s="61">
        <f>J14*(1+IF('Fiscal Inputs'!$G$14="",0,'Fiscal Inputs'!$G$14))</f>
        <v>0</v>
      </c>
      <c r="L14" s="61">
        <f>K14*(1+IF('Fiscal Inputs'!$G$14="",0,'Fiscal Inputs'!$G$14))</f>
        <v>0</v>
      </c>
      <c r="M14" s="61">
        <f>L14*(1+IF('Fiscal Inputs'!$G$14="",0,'Fiscal Inputs'!$G$14))</f>
        <v>0</v>
      </c>
      <c r="N14" s="61">
        <f>M14*(1+IF('Fiscal Inputs'!$G$14="",0,'Fiscal Inputs'!$G$14))</f>
        <v>0</v>
      </c>
      <c r="O14" s="61">
        <f>N14*(1+IF('Fiscal Inputs'!$G$14="",0,'Fiscal Inputs'!$G$14))</f>
        <v>0</v>
      </c>
      <c r="P14" s="61">
        <f>O14*(1+IF('Fiscal Inputs'!$G$14="",0,'Fiscal Inputs'!$G$14))</f>
        <v>0</v>
      </c>
      <c r="Q14" s="61">
        <f>P14*(1+IF('Fiscal Inputs'!$G$14="",0,'Fiscal Inputs'!$G$14))</f>
        <v>0</v>
      </c>
      <c r="R14" s="61">
        <f>Q14*(1+IF('Fiscal Inputs'!$G$14="",0,'Fiscal Inputs'!$G$14))</f>
        <v>0</v>
      </c>
      <c r="S14" s="61">
        <f>R14*(1+IF('Fiscal Inputs'!$G$14="",0,'Fiscal Inputs'!$G$14))</f>
        <v>0</v>
      </c>
      <c r="T14" s="61">
        <f>S14*(1+IF('Fiscal Inputs'!$G$14="",0,'Fiscal Inputs'!$G$14))</f>
        <v>0</v>
      </c>
      <c r="U14" s="61">
        <f>T14*(1+IF('Fiscal Inputs'!$G$14="",0,'Fiscal Inputs'!$G$14))</f>
        <v>0</v>
      </c>
      <c r="V14" s="61">
        <f>U14*(1+IF('Fiscal Inputs'!$G$14="",0,'Fiscal Inputs'!$G$14))</f>
        <v>0</v>
      </c>
      <c r="W14" s="61">
        <f>V14*(1+IF('Fiscal Inputs'!$G$14="",0,'Fiscal Inputs'!$G$14))</f>
        <v>0</v>
      </c>
      <c r="X14" s="61">
        <f>W14*(1+IF('Fiscal Inputs'!$G$14="",0,'Fiscal Inputs'!$G$14))</f>
        <v>0</v>
      </c>
    </row>
    <row r="15">
      <c r="A15" s="20" t="s">
        <v>330</v>
      </c>
      <c r="B15" s="20" t="s">
        <v>331</v>
      </c>
      <c r="C15" s="20">
        <v>1.0</v>
      </c>
      <c r="D15" s="61">
        <f>IF('Fiscal Inputs'!$E$15="",0,'Fiscal Inputs'!$E$15*'Fiscal Inputs'!$C$15)</f>
        <v>0</v>
      </c>
      <c r="E15" s="61">
        <f>IF('Fiscal Inputs'!$F$15="",0,'Fiscal Inputs'!$F$15*'Fiscal Inputs'!$C$15)</f>
        <v>0</v>
      </c>
      <c r="F15" s="61">
        <f>E15*(1+IF('Fiscal Inputs'!$G$15="",0,'Fiscal Inputs'!$G$15))</f>
        <v>0</v>
      </c>
      <c r="G15" s="61">
        <f>F15*(1+IF('Fiscal Inputs'!$G$15="",0,'Fiscal Inputs'!$G$15))</f>
        <v>0</v>
      </c>
      <c r="H15" s="61">
        <f>G15*(1+IF('Fiscal Inputs'!$G$15="",0,'Fiscal Inputs'!$G$15))</f>
        <v>0</v>
      </c>
      <c r="I15" s="61">
        <f>H15*(1+IF('Fiscal Inputs'!$G$15="",0,'Fiscal Inputs'!$G$15))</f>
        <v>0</v>
      </c>
      <c r="J15" s="61">
        <f>I15*(1+IF('Fiscal Inputs'!$G$15="",0,'Fiscal Inputs'!$G$15))</f>
        <v>0</v>
      </c>
      <c r="K15" s="61">
        <f>J15*(1+IF('Fiscal Inputs'!$G$15="",0,'Fiscal Inputs'!$G$15))</f>
        <v>0</v>
      </c>
      <c r="L15" s="61">
        <f>K15*(1+IF('Fiscal Inputs'!$G$15="",0,'Fiscal Inputs'!$G$15))</f>
        <v>0</v>
      </c>
      <c r="M15" s="61">
        <f>L15*(1+IF('Fiscal Inputs'!$G$15="",0,'Fiscal Inputs'!$G$15))</f>
        <v>0</v>
      </c>
      <c r="N15" s="61">
        <f>M15*(1+IF('Fiscal Inputs'!$G$15="",0,'Fiscal Inputs'!$G$15))</f>
        <v>0</v>
      </c>
      <c r="O15" s="61">
        <f>N15*(1+IF('Fiscal Inputs'!$G$15="",0,'Fiscal Inputs'!$G$15))</f>
        <v>0</v>
      </c>
      <c r="P15" s="61">
        <f>O15*(1+IF('Fiscal Inputs'!$G$15="",0,'Fiscal Inputs'!$G$15))</f>
        <v>0</v>
      </c>
      <c r="Q15" s="61">
        <f>P15*(1+IF('Fiscal Inputs'!$G$15="",0,'Fiscal Inputs'!$G$15))</f>
        <v>0</v>
      </c>
      <c r="R15" s="61">
        <f>Q15*(1+IF('Fiscal Inputs'!$G$15="",0,'Fiscal Inputs'!$G$15))</f>
        <v>0</v>
      </c>
      <c r="S15" s="61">
        <f>R15*(1+IF('Fiscal Inputs'!$G$15="",0,'Fiscal Inputs'!$G$15))</f>
        <v>0</v>
      </c>
      <c r="T15" s="61">
        <f>S15*(1+IF('Fiscal Inputs'!$G$15="",0,'Fiscal Inputs'!$G$15))</f>
        <v>0</v>
      </c>
      <c r="U15" s="61">
        <f>T15*(1+IF('Fiscal Inputs'!$G$15="",0,'Fiscal Inputs'!$G$15))</f>
        <v>0</v>
      </c>
      <c r="V15" s="61">
        <f>U15*(1+IF('Fiscal Inputs'!$G$15="",0,'Fiscal Inputs'!$G$15))</f>
        <v>0</v>
      </c>
      <c r="W15" s="61">
        <f>V15*(1+IF('Fiscal Inputs'!$G$15="",0,'Fiscal Inputs'!$G$15))</f>
        <v>0</v>
      </c>
      <c r="X15" s="61">
        <f>W15*(1+IF('Fiscal Inputs'!$G$15="",0,'Fiscal Inputs'!$G$15))</f>
        <v>0</v>
      </c>
    </row>
    <row r="16">
      <c r="A16" s="20" t="s">
        <v>335</v>
      </c>
      <c r="B16" s="20" t="s">
        <v>331</v>
      </c>
      <c r="C16" s="20">
        <v>-1.0</v>
      </c>
      <c r="D16" s="61">
        <f>IF('Fiscal Inputs'!$E$16="",0,'Fiscal Inputs'!$E$16*'Fiscal Inputs'!$C$16)</f>
        <v>0</v>
      </c>
      <c r="E16" s="61">
        <f>IF('Fiscal Inputs'!$F$16="",0,'Fiscal Inputs'!$F$16*'Fiscal Inputs'!$C$16)</f>
        <v>0</v>
      </c>
      <c r="F16" s="61">
        <f>E16*(1+IF('Fiscal Inputs'!$G$16="",0,'Fiscal Inputs'!$G$16))</f>
        <v>0</v>
      </c>
      <c r="G16" s="61">
        <f>F16*(1+IF('Fiscal Inputs'!$G$16="",0,'Fiscal Inputs'!$G$16))</f>
        <v>0</v>
      </c>
      <c r="H16" s="61">
        <f>G16*(1+IF('Fiscal Inputs'!$G$16="",0,'Fiscal Inputs'!$G$16))</f>
        <v>0</v>
      </c>
      <c r="I16" s="61">
        <f>H16*(1+IF('Fiscal Inputs'!$G$16="",0,'Fiscal Inputs'!$G$16))</f>
        <v>0</v>
      </c>
      <c r="J16" s="61">
        <f>I16*(1+IF('Fiscal Inputs'!$G$16="",0,'Fiscal Inputs'!$G$16))</f>
        <v>0</v>
      </c>
      <c r="K16" s="61">
        <f>J16*(1+IF('Fiscal Inputs'!$G$16="",0,'Fiscal Inputs'!$G$16))</f>
        <v>0</v>
      </c>
      <c r="L16" s="61">
        <f>K16*(1+IF('Fiscal Inputs'!$G$16="",0,'Fiscal Inputs'!$G$16))</f>
        <v>0</v>
      </c>
      <c r="M16" s="61">
        <f>L16*(1+IF('Fiscal Inputs'!$G$16="",0,'Fiscal Inputs'!$G$16))</f>
        <v>0</v>
      </c>
      <c r="N16" s="61">
        <f>M16*(1+IF('Fiscal Inputs'!$G$16="",0,'Fiscal Inputs'!$G$16))</f>
        <v>0</v>
      </c>
      <c r="O16" s="61">
        <f>N16*(1+IF('Fiscal Inputs'!$G$16="",0,'Fiscal Inputs'!$G$16))</f>
        <v>0</v>
      </c>
      <c r="P16" s="61">
        <f>O16*(1+IF('Fiscal Inputs'!$G$16="",0,'Fiscal Inputs'!$G$16))</f>
        <v>0</v>
      </c>
      <c r="Q16" s="61">
        <f>P16*(1+IF('Fiscal Inputs'!$G$16="",0,'Fiscal Inputs'!$G$16))</f>
        <v>0</v>
      </c>
      <c r="R16" s="61">
        <f>Q16*(1+IF('Fiscal Inputs'!$G$16="",0,'Fiscal Inputs'!$G$16))</f>
        <v>0</v>
      </c>
      <c r="S16" s="61">
        <f>R16*(1+IF('Fiscal Inputs'!$G$16="",0,'Fiscal Inputs'!$G$16))</f>
        <v>0</v>
      </c>
      <c r="T16" s="61">
        <f>S16*(1+IF('Fiscal Inputs'!$G$16="",0,'Fiscal Inputs'!$G$16))</f>
        <v>0</v>
      </c>
      <c r="U16" s="61">
        <f>T16*(1+IF('Fiscal Inputs'!$G$16="",0,'Fiscal Inputs'!$G$16))</f>
        <v>0</v>
      </c>
      <c r="V16" s="61">
        <f>U16*(1+IF('Fiscal Inputs'!$G$16="",0,'Fiscal Inputs'!$G$16))</f>
        <v>0</v>
      </c>
      <c r="W16" s="61">
        <f>V16*(1+IF('Fiscal Inputs'!$G$16="",0,'Fiscal Inputs'!$G$16))</f>
        <v>0</v>
      </c>
      <c r="X16" s="61">
        <f>W16*(1+IF('Fiscal Inputs'!$G$16="",0,'Fiscal Inputs'!$G$16))</f>
        <v>0</v>
      </c>
    </row>
    <row r="17">
      <c r="A17" s="20" t="s">
        <v>340</v>
      </c>
      <c r="B17" s="20" t="s">
        <v>331</v>
      </c>
      <c r="C17" s="20">
        <v>-1.0</v>
      </c>
      <c r="D17" s="61">
        <f>IF('Fiscal Inputs'!$E$17="",0,'Fiscal Inputs'!$E$17*'Fiscal Inputs'!$C$17)</f>
        <v>0</v>
      </c>
      <c r="E17" s="61">
        <f>IF('Fiscal Inputs'!$F$17="",0,'Fiscal Inputs'!$F$17*'Fiscal Inputs'!$C$17)</f>
        <v>0</v>
      </c>
      <c r="F17" s="61">
        <f>E17*(1+IF('Fiscal Inputs'!$G$17="",0,'Fiscal Inputs'!$G$17))</f>
        <v>0</v>
      </c>
      <c r="G17" s="61">
        <f>F17*(1+IF('Fiscal Inputs'!$G$17="",0,'Fiscal Inputs'!$G$17))</f>
        <v>0</v>
      </c>
      <c r="H17" s="61">
        <f>G17*(1+IF('Fiscal Inputs'!$G$17="",0,'Fiscal Inputs'!$G$17))</f>
        <v>0</v>
      </c>
      <c r="I17" s="61">
        <f>H17*(1+IF('Fiscal Inputs'!$G$17="",0,'Fiscal Inputs'!$G$17))</f>
        <v>0</v>
      </c>
      <c r="J17" s="61">
        <f>I17*(1+IF('Fiscal Inputs'!$G$17="",0,'Fiscal Inputs'!$G$17))</f>
        <v>0</v>
      </c>
      <c r="K17" s="61">
        <f>J17*(1+IF('Fiscal Inputs'!$G$17="",0,'Fiscal Inputs'!$G$17))</f>
        <v>0</v>
      </c>
      <c r="L17" s="61">
        <f>K17*(1+IF('Fiscal Inputs'!$G$17="",0,'Fiscal Inputs'!$G$17))</f>
        <v>0</v>
      </c>
      <c r="M17" s="61">
        <f>L17*(1+IF('Fiscal Inputs'!$G$17="",0,'Fiscal Inputs'!$G$17))</f>
        <v>0</v>
      </c>
      <c r="N17" s="61">
        <f>M17*(1+IF('Fiscal Inputs'!$G$17="",0,'Fiscal Inputs'!$G$17))</f>
        <v>0</v>
      </c>
      <c r="O17" s="61">
        <f>N17*(1+IF('Fiscal Inputs'!$G$17="",0,'Fiscal Inputs'!$G$17))</f>
        <v>0</v>
      </c>
      <c r="P17" s="61">
        <f>O17*(1+IF('Fiscal Inputs'!$G$17="",0,'Fiscal Inputs'!$G$17))</f>
        <v>0</v>
      </c>
      <c r="Q17" s="61">
        <f>P17*(1+IF('Fiscal Inputs'!$G$17="",0,'Fiscal Inputs'!$G$17))</f>
        <v>0</v>
      </c>
      <c r="R17" s="61">
        <f>Q17*(1+IF('Fiscal Inputs'!$G$17="",0,'Fiscal Inputs'!$G$17))</f>
        <v>0</v>
      </c>
      <c r="S17" s="61">
        <f>R17*(1+IF('Fiscal Inputs'!$G$17="",0,'Fiscal Inputs'!$G$17))</f>
        <v>0</v>
      </c>
      <c r="T17" s="61">
        <f>S17*(1+IF('Fiscal Inputs'!$G$17="",0,'Fiscal Inputs'!$G$17))</f>
        <v>0</v>
      </c>
      <c r="U17" s="61">
        <f>T17*(1+IF('Fiscal Inputs'!$G$17="",0,'Fiscal Inputs'!$G$17))</f>
        <v>0</v>
      </c>
      <c r="V17" s="61">
        <f>U17*(1+IF('Fiscal Inputs'!$G$17="",0,'Fiscal Inputs'!$G$17))</f>
        <v>0</v>
      </c>
      <c r="W17" s="61">
        <f>V17*(1+IF('Fiscal Inputs'!$G$17="",0,'Fiscal Inputs'!$G$17))</f>
        <v>0</v>
      </c>
      <c r="X17" s="61">
        <f>W17*(1+IF('Fiscal Inputs'!$G$17="",0,'Fiscal Inputs'!$G$17))</f>
        <v>0</v>
      </c>
    </row>
    <row r="18">
      <c r="A18" s="20" t="s">
        <v>343</v>
      </c>
      <c r="B18" s="20" t="s">
        <v>331</v>
      </c>
      <c r="C18" s="20">
        <v>-1.0</v>
      </c>
      <c r="D18" s="61">
        <f>IF('Fiscal Inputs'!$E$18="",0,'Fiscal Inputs'!$E$18*'Fiscal Inputs'!$C$18)</f>
        <v>0</v>
      </c>
      <c r="E18" s="61">
        <f>IF('Fiscal Inputs'!$F$18="",0,'Fiscal Inputs'!$F$18*'Fiscal Inputs'!$C$18)</f>
        <v>0</v>
      </c>
      <c r="F18" s="61">
        <f>E18*(1+IF('Fiscal Inputs'!$G$18="",0,'Fiscal Inputs'!$G$18))</f>
        <v>0</v>
      </c>
      <c r="G18" s="61">
        <f>F18*(1+IF('Fiscal Inputs'!$G$18="",0,'Fiscal Inputs'!$G$18))</f>
        <v>0</v>
      </c>
      <c r="H18" s="61">
        <f>G18*(1+IF('Fiscal Inputs'!$G$18="",0,'Fiscal Inputs'!$G$18))</f>
        <v>0</v>
      </c>
      <c r="I18" s="61">
        <f>H18*(1+IF('Fiscal Inputs'!$G$18="",0,'Fiscal Inputs'!$G$18))</f>
        <v>0</v>
      </c>
      <c r="J18" s="61">
        <f>I18*(1+IF('Fiscal Inputs'!$G$18="",0,'Fiscal Inputs'!$G$18))</f>
        <v>0</v>
      </c>
      <c r="K18" s="61">
        <f>J18*(1+IF('Fiscal Inputs'!$G$18="",0,'Fiscal Inputs'!$G$18))</f>
        <v>0</v>
      </c>
      <c r="L18" s="61">
        <f>K18*(1+IF('Fiscal Inputs'!$G$18="",0,'Fiscal Inputs'!$G$18))</f>
        <v>0</v>
      </c>
      <c r="M18" s="61">
        <f>L18*(1+IF('Fiscal Inputs'!$G$18="",0,'Fiscal Inputs'!$G$18))</f>
        <v>0</v>
      </c>
      <c r="N18" s="61">
        <f>M18*(1+IF('Fiscal Inputs'!$G$18="",0,'Fiscal Inputs'!$G$18))</f>
        <v>0</v>
      </c>
      <c r="O18" s="61">
        <f>N18*(1+IF('Fiscal Inputs'!$G$18="",0,'Fiscal Inputs'!$G$18))</f>
        <v>0</v>
      </c>
      <c r="P18" s="61">
        <f>O18*(1+IF('Fiscal Inputs'!$G$18="",0,'Fiscal Inputs'!$G$18))</f>
        <v>0</v>
      </c>
      <c r="Q18" s="61">
        <f>P18*(1+IF('Fiscal Inputs'!$G$18="",0,'Fiscal Inputs'!$G$18))</f>
        <v>0</v>
      </c>
      <c r="R18" s="61">
        <f>Q18*(1+IF('Fiscal Inputs'!$G$18="",0,'Fiscal Inputs'!$G$18))</f>
        <v>0</v>
      </c>
      <c r="S18" s="61">
        <f>R18*(1+IF('Fiscal Inputs'!$G$18="",0,'Fiscal Inputs'!$G$18))</f>
        <v>0</v>
      </c>
      <c r="T18" s="61">
        <f>S18*(1+IF('Fiscal Inputs'!$G$18="",0,'Fiscal Inputs'!$G$18))</f>
        <v>0</v>
      </c>
      <c r="U18" s="61">
        <f>T18*(1+IF('Fiscal Inputs'!$G$18="",0,'Fiscal Inputs'!$G$18))</f>
        <v>0</v>
      </c>
      <c r="V18" s="61">
        <f>U18*(1+IF('Fiscal Inputs'!$G$18="",0,'Fiscal Inputs'!$G$18))</f>
        <v>0</v>
      </c>
      <c r="W18" s="61">
        <f>V18*(1+IF('Fiscal Inputs'!$G$18="",0,'Fiscal Inputs'!$G$18))</f>
        <v>0</v>
      </c>
      <c r="X18" s="61">
        <f>W18*(1+IF('Fiscal Inputs'!$G$18="",0,'Fiscal Inputs'!$G$18))</f>
        <v>0</v>
      </c>
    </row>
    <row r="19">
      <c r="A19" s="20" t="s">
        <v>348</v>
      </c>
      <c r="B19" s="20" t="s">
        <v>349</v>
      </c>
      <c r="C19" s="20">
        <v>1.0</v>
      </c>
      <c r="D19" s="61">
        <f>IF('Fiscal Inputs'!$E$19="",0,'Fiscal Inputs'!$E$19*'Fiscal Inputs'!$C$19)</f>
        <v>0</v>
      </c>
      <c r="E19" s="61">
        <f>IF('Fiscal Inputs'!$F$19="",0,'Fiscal Inputs'!$F$19*'Fiscal Inputs'!$C$19)</f>
        <v>0</v>
      </c>
      <c r="F19" s="61">
        <f>E19*(1+IF('Fiscal Inputs'!$G$19="",0,'Fiscal Inputs'!$G$19))</f>
        <v>0</v>
      </c>
      <c r="G19" s="61">
        <f>F19*(1+IF('Fiscal Inputs'!$G$19="",0,'Fiscal Inputs'!$G$19))</f>
        <v>0</v>
      </c>
      <c r="H19" s="61">
        <f>G19*(1+IF('Fiscal Inputs'!$G$19="",0,'Fiscal Inputs'!$G$19))</f>
        <v>0</v>
      </c>
      <c r="I19" s="61">
        <f>H19*(1+IF('Fiscal Inputs'!$G$19="",0,'Fiscal Inputs'!$G$19))</f>
        <v>0</v>
      </c>
      <c r="J19" s="61">
        <f>I19*(1+IF('Fiscal Inputs'!$G$19="",0,'Fiscal Inputs'!$G$19))</f>
        <v>0</v>
      </c>
      <c r="K19" s="61">
        <f>J19*(1+IF('Fiscal Inputs'!$G$19="",0,'Fiscal Inputs'!$G$19))</f>
        <v>0</v>
      </c>
      <c r="L19" s="61">
        <f>K19*(1+IF('Fiscal Inputs'!$G$19="",0,'Fiscal Inputs'!$G$19))</f>
        <v>0</v>
      </c>
      <c r="M19" s="61">
        <f>L19*(1+IF('Fiscal Inputs'!$G$19="",0,'Fiscal Inputs'!$G$19))</f>
        <v>0</v>
      </c>
      <c r="N19" s="61">
        <f>M19*(1+IF('Fiscal Inputs'!$G$19="",0,'Fiscal Inputs'!$G$19))</f>
        <v>0</v>
      </c>
      <c r="O19" s="61">
        <f>N19*(1+IF('Fiscal Inputs'!$G$19="",0,'Fiscal Inputs'!$G$19))</f>
        <v>0</v>
      </c>
      <c r="P19" s="61">
        <f>O19*(1+IF('Fiscal Inputs'!$G$19="",0,'Fiscal Inputs'!$G$19))</f>
        <v>0</v>
      </c>
      <c r="Q19" s="61">
        <f>P19*(1+IF('Fiscal Inputs'!$G$19="",0,'Fiscal Inputs'!$G$19))</f>
        <v>0</v>
      </c>
      <c r="R19" s="61">
        <f>Q19*(1+IF('Fiscal Inputs'!$G$19="",0,'Fiscal Inputs'!$G$19))</f>
        <v>0</v>
      </c>
      <c r="S19" s="61">
        <f>R19*(1+IF('Fiscal Inputs'!$G$19="",0,'Fiscal Inputs'!$G$19))</f>
        <v>0</v>
      </c>
      <c r="T19" s="61">
        <f>S19*(1+IF('Fiscal Inputs'!$G$19="",0,'Fiscal Inputs'!$G$19))</f>
        <v>0</v>
      </c>
      <c r="U19" s="61">
        <f>T19*(1+IF('Fiscal Inputs'!$G$19="",0,'Fiscal Inputs'!$G$19))</f>
        <v>0</v>
      </c>
      <c r="V19" s="61">
        <f>U19*(1+IF('Fiscal Inputs'!$G$19="",0,'Fiscal Inputs'!$G$19))</f>
        <v>0</v>
      </c>
      <c r="W19" s="61">
        <f>V19*(1+IF('Fiscal Inputs'!$G$19="",0,'Fiscal Inputs'!$G$19))</f>
        <v>0</v>
      </c>
      <c r="X19" s="61">
        <f>W19*(1+IF('Fiscal Inputs'!$G$19="",0,'Fiscal Inputs'!$G$19))</f>
        <v>0</v>
      </c>
    </row>
    <row r="20">
      <c r="A20" s="20" t="s">
        <v>351</v>
      </c>
      <c r="B20" s="20" t="s">
        <v>349</v>
      </c>
      <c r="C20" s="20">
        <v>1.0</v>
      </c>
      <c r="D20" s="61">
        <f>IF('Fiscal Inputs'!$E$20="",0,'Fiscal Inputs'!$E$20*'Fiscal Inputs'!$C$20)</f>
        <v>0</v>
      </c>
      <c r="E20" s="61">
        <f>IF('Fiscal Inputs'!$F$20="",0,'Fiscal Inputs'!$F$20*'Fiscal Inputs'!$C$20)</f>
        <v>0</v>
      </c>
      <c r="F20" s="61">
        <f>E20*(1+IF('Fiscal Inputs'!$G$20="",0,'Fiscal Inputs'!$G$20))</f>
        <v>0</v>
      </c>
      <c r="G20" s="61">
        <f>F20*(1+IF('Fiscal Inputs'!$G$20="",0,'Fiscal Inputs'!$G$20))</f>
        <v>0</v>
      </c>
      <c r="H20" s="61">
        <f>G20*(1+IF('Fiscal Inputs'!$G$20="",0,'Fiscal Inputs'!$G$20))</f>
        <v>0</v>
      </c>
      <c r="I20" s="61">
        <f>H20*(1+IF('Fiscal Inputs'!$G$20="",0,'Fiscal Inputs'!$G$20))</f>
        <v>0</v>
      </c>
      <c r="J20" s="61">
        <f>I20*(1+IF('Fiscal Inputs'!$G$20="",0,'Fiscal Inputs'!$G$20))</f>
        <v>0</v>
      </c>
      <c r="K20" s="61">
        <f>J20*(1+IF('Fiscal Inputs'!$G$20="",0,'Fiscal Inputs'!$G$20))</f>
        <v>0</v>
      </c>
      <c r="L20" s="61">
        <f>K20*(1+IF('Fiscal Inputs'!$G$20="",0,'Fiscal Inputs'!$G$20))</f>
        <v>0</v>
      </c>
      <c r="M20" s="61">
        <f>L20*(1+IF('Fiscal Inputs'!$G$20="",0,'Fiscal Inputs'!$G$20))</f>
        <v>0</v>
      </c>
      <c r="N20" s="61">
        <f>M20*(1+IF('Fiscal Inputs'!$G$20="",0,'Fiscal Inputs'!$G$20))</f>
        <v>0</v>
      </c>
      <c r="O20" s="61">
        <f>N20*(1+IF('Fiscal Inputs'!$G$20="",0,'Fiscal Inputs'!$G$20))</f>
        <v>0</v>
      </c>
      <c r="P20" s="61">
        <f>O20*(1+IF('Fiscal Inputs'!$G$20="",0,'Fiscal Inputs'!$G$20))</f>
        <v>0</v>
      </c>
      <c r="Q20" s="61">
        <f>P20*(1+IF('Fiscal Inputs'!$G$20="",0,'Fiscal Inputs'!$G$20))</f>
        <v>0</v>
      </c>
      <c r="R20" s="61">
        <f>Q20*(1+IF('Fiscal Inputs'!$G$20="",0,'Fiscal Inputs'!$G$20))</f>
        <v>0</v>
      </c>
      <c r="S20" s="61">
        <f>R20*(1+IF('Fiscal Inputs'!$G$20="",0,'Fiscal Inputs'!$G$20))</f>
        <v>0</v>
      </c>
      <c r="T20" s="61">
        <f>S20*(1+IF('Fiscal Inputs'!$G$20="",0,'Fiscal Inputs'!$G$20))</f>
        <v>0</v>
      </c>
      <c r="U20" s="61">
        <f>T20*(1+IF('Fiscal Inputs'!$G$20="",0,'Fiscal Inputs'!$G$20))</f>
        <v>0</v>
      </c>
      <c r="V20" s="61">
        <f>U20*(1+IF('Fiscal Inputs'!$G$20="",0,'Fiscal Inputs'!$G$20))</f>
        <v>0</v>
      </c>
      <c r="W20" s="61">
        <f>V20*(1+IF('Fiscal Inputs'!$G$20="",0,'Fiscal Inputs'!$G$20))</f>
        <v>0</v>
      </c>
      <c r="X20" s="61">
        <f>W20*(1+IF('Fiscal Inputs'!$G$20="",0,'Fiscal Inputs'!$G$20))</f>
        <v>0</v>
      </c>
    </row>
    <row r="21" ht="15.75" customHeight="1">
      <c r="A21" s="20" t="s">
        <v>356</v>
      </c>
      <c r="B21" s="20" t="s">
        <v>349</v>
      </c>
      <c r="C21" s="20">
        <v>-1.0</v>
      </c>
      <c r="D21" s="61">
        <f>IF('Fiscal Inputs'!$E$21="",0,'Fiscal Inputs'!$E$21*'Fiscal Inputs'!$C$21)</f>
        <v>0</v>
      </c>
      <c r="E21" s="61">
        <f>IF('Fiscal Inputs'!$F$21="",0,'Fiscal Inputs'!$F$21*'Fiscal Inputs'!$C$21)</f>
        <v>0</v>
      </c>
      <c r="F21" s="61">
        <f>E21*(1+IF('Fiscal Inputs'!$G$21="",0,'Fiscal Inputs'!$G$21))</f>
        <v>0</v>
      </c>
      <c r="G21" s="61">
        <f>F21*(1+IF('Fiscal Inputs'!$G$21="",0,'Fiscal Inputs'!$G$21))</f>
        <v>0</v>
      </c>
      <c r="H21" s="61">
        <f>G21*(1+IF('Fiscal Inputs'!$G$21="",0,'Fiscal Inputs'!$G$21))</f>
        <v>0</v>
      </c>
      <c r="I21" s="61">
        <f>H21*(1+IF('Fiscal Inputs'!$G$21="",0,'Fiscal Inputs'!$G$21))</f>
        <v>0</v>
      </c>
      <c r="J21" s="61">
        <f>I21*(1+IF('Fiscal Inputs'!$G$21="",0,'Fiscal Inputs'!$G$21))</f>
        <v>0</v>
      </c>
      <c r="K21" s="61">
        <f>J21*(1+IF('Fiscal Inputs'!$G$21="",0,'Fiscal Inputs'!$G$21))</f>
        <v>0</v>
      </c>
      <c r="L21" s="61">
        <f>K21*(1+IF('Fiscal Inputs'!$G$21="",0,'Fiscal Inputs'!$G$21))</f>
        <v>0</v>
      </c>
      <c r="M21" s="61">
        <f>L21*(1+IF('Fiscal Inputs'!$G$21="",0,'Fiscal Inputs'!$G$21))</f>
        <v>0</v>
      </c>
      <c r="N21" s="61">
        <f>M21*(1+IF('Fiscal Inputs'!$G$21="",0,'Fiscal Inputs'!$G$21))</f>
        <v>0</v>
      </c>
      <c r="O21" s="61">
        <f>N21*(1+IF('Fiscal Inputs'!$G$21="",0,'Fiscal Inputs'!$G$21))</f>
        <v>0</v>
      </c>
      <c r="P21" s="61">
        <f>O21*(1+IF('Fiscal Inputs'!$G$21="",0,'Fiscal Inputs'!$G$21))</f>
        <v>0</v>
      </c>
      <c r="Q21" s="61">
        <f>P21*(1+IF('Fiscal Inputs'!$G$21="",0,'Fiscal Inputs'!$G$21))</f>
        <v>0</v>
      </c>
      <c r="R21" s="61">
        <f>Q21*(1+IF('Fiscal Inputs'!$G$21="",0,'Fiscal Inputs'!$G$21))</f>
        <v>0</v>
      </c>
      <c r="S21" s="61">
        <f>R21*(1+IF('Fiscal Inputs'!$G$21="",0,'Fiscal Inputs'!$G$21))</f>
        <v>0</v>
      </c>
      <c r="T21" s="61">
        <f>S21*(1+IF('Fiscal Inputs'!$G$21="",0,'Fiscal Inputs'!$G$21))</f>
        <v>0</v>
      </c>
      <c r="U21" s="61">
        <f>T21*(1+IF('Fiscal Inputs'!$G$21="",0,'Fiscal Inputs'!$G$21))</f>
        <v>0</v>
      </c>
      <c r="V21" s="61">
        <f>U21*(1+IF('Fiscal Inputs'!$G$21="",0,'Fiscal Inputs'!$G$21))</f>
        <v>0</v>
      </c>
      <c r="W21" s="61">
        <f>V21*(1+IF('Fiscal Inputs'!$G$21="",0,'Fiscal Inputs'!$G$21))</f>
        <v>0</v>
      </c>
      <c r="X21" s="61">
        <f>W21*(1+IF('Fiscal Inputs'!$G$21="",0,'Fiscal Inputs'!$G$21))</f>
        <v>0</v>
      </c>
    </row>
    <row r="22" ht="15.75" customHeight="1">
      <c r="A22" s="20" t="s">
        <v>359</v>
      </c>
      <c r="B22" s="20" t="s">
        <v>349</v>
      </c>
      <c r="C22" s="20">
        <v>-1.0</v>
      </c>
      <c r="D22" s="61">
        <f>IF('Fiscal Inputs'!$E$22="",0,'Fiscal Inputs'!$E$22*'Fiscal Inputs'!$C$22)</f>
        <v>0</v>
      </c>
      <c r="E22" s="61">
        <f>IF('Fiscal Inputs'!$F$22="",0,'Fiscal Inputs'!$F$22*'Fiscal Inputs'!$C$22)</f>
        <v>0</v>
      </c>
      <c r="F22" s="61">
        <f>E22*(1+IF('Fiscal Inputs'!$G$22="",0,'Fiscal Inputs'!$G$22))</f>
        <v>0</v>
      </c>
      <c r="G22" s="61">
        <f>F22*(1+IF('Fiscal Inputs'!$G$22="",0,'Fiscal Inputs'!$G$22))</f>
        <v>0</v>
      </c>
      <c r="H22" s="61">
        <f>G22*(1+IF('Fiscal Inputs'!$G$22="",0,'Fiscal Inputs'!$G$22))</f>
        <v>0</v>
      </c>
      <c r="I22" s="61">
        <f>H22*(1+IF('Fiscal Inputs'!$G$22="",0,'Fiscal Inputs'!$G$22))</f>
        <v>0</v>
      </c>
      <c r="J22" s="61">
        <f>I22*(1+IF('Fiscal Inputs'!$G$22="",0,'Fiscal Inputs'!$G$22))</f>
        <v>0</v>
      </c>
      <c r="K22" s="61">
        <f>J22*(1+IF('Fiscal Inputs'!$G$22="",0,'Fiscal Inputs'!$G$22))</f>
        <v>0</v>
      </c>
      <c r="L22" s="61">
        <f>K22*(1+IF('Fiscal Inputs'!$G$22="",0,'Fiscal Inputs'!$G$22))</f>
        <v>0</v>
      </c>
      <c r="M22" s="61">
        <f>L22*(1+IF('Fiscal Inputs'!$G$22="",0,'Fiscal Inputs'!$G$22))</f>
        <v>0</v>
      </c>
      <c r="N22" s="61">
        <f>M22*(1+IF('Fiscal Inputs'!$G$22="",0,'Fiscal Inputs'!$G$22))</f>
        <v>0</v>
      </c>
      <c r="O22" s="61">
        <f>N22*(1+IF('Fiscal Inputs'!$G$22="",0,'Fiscal Inputs'!$G$22))</f>
        <v>0</v>
      </c>
      <c r="P22" s="61">
        <f>O22*(1+IF('Fiscal Inputs'!$G$22="",0,'Fiscal Inputs'!$G$22))</f>
        <v>0</v>
      </c>
      <c r="Q22" s="61">
        <f>P22*(1+IF('Fiscal Inputs'!$G$22="",0,'Fiscal Inputs'!$G$22))</f>
        <v>0</v>
      </c>
      <c r="R22" s="61">
        <f>Q22*(1+IF('Fiscal Inputs'!$G$22="",0,'Fiscal Inputs'!$G$22))</f>
        <v>0</v>
      </c>
      <c r="S22" s="61">
        <f>R22*(1+IF('Fiscal Inputs'!$G$22="",0,'Fiscal Inputs'!$G$22))</f>
        <v>0</v>
      </c>
      <c r="T22" s="61">
        <f>S22*(1+IF('Fiscal Inputs'!$G$22="",0,'Fiscal Inputs'!$G$22))</f>
        <v>0</v>
      </c>
      <c r="U22" s="61">
        <f>T22*(1+IF('Fiscal Inputs'!$G$22="",0,'Fiscal Inputs'!$G$22))</f>
        <v>0</v>
      </c>
      <c r="V22" s="61">
        <f>U22*(1+IF('Fiscal Inputs'!$G$22="",0,'Fiscal Inputs'!$G$22))</f>
        <v>0</v>
      </c>
      <c r="W22" s="61">
        <f>V22*(1+IF('Fiscal Inputs'!$G$22="",0,'Fiscal Inputs'!$G$22))</f>
        <v>0</v>
      </c>
      <c r="X22" s="61">
        <f>W22*(1+IF('Fiscal Inputs'!$G$22="",0,'Fiscal Inputs'!$G$22))</f>
        <v>0</v>
      </c>
    </row>
    <row r="23" ht="15.75" customHeight="1">
      <c r="A23" s="20" t="s">
        <v>366</v>
      </c>
      <c r="B23" s="20" t="s">
        <v>349</v>
      </c>
      <c r="C23" s="20">
        <v>-1.0</v>
      </c>
      <c r="D23" s="61">
        <f>IF('Fiscal Inputs'!$E$23="",0,'Fiscal Inputs'!$E$23*'Fiscal Inputs'!$C$23)</f>
        <v>0</v>
      </c>
      <c r="E23" s="61">
        <f>IF('Fiscal Inputs'!$F$23="",0,'Fiscal Inputs'!$F$23*'Fiscal Inputs'!$C$23)</f>
        <v>0</v>
      </c>
      <c r="F23" s="61">
        <f>E23*(1+IF('Fiscal Inputs'!$G$23="",0,'Fiscal Inputs'!$G$23))</f>
        <v>0</v>
      </c>
      <c r="G23" s="61">
        <f>F23*(1+IF('Fiscal Inputs'!$G$23="",0,'Fiscal Inputs'!$G$23))</f>
        <v>0</v>
      </c>
      <c r="H23" s="61">
        <f>G23*(1+IF('Fiscal Inputs'!$G$23="",0,'Fiscal Inputs'!$G$23))</f>
        <v>0</v>
      </c>
      <c r="I23" s="61">
        <f>H23*(1+IF('Fiscal Inputs'!$G$23="",0,'Fiscal Inputs'!$G$23))</f>
        <v>0</v>
      </c>
      <c r="J23" s="61">
        <f>I23*(1+IF('Fiscal Inputs'!$G$23="",0,'Fiscal Inputs'!$G$23))</f>
        <v>0</v>
      </c>
      <c r="K23" s="61">
        <f>J23*(1+IF('Fiscal Inputs'!$G$23="",0,'Fiscal Inputs'!$G$23))</f>
        <v>0</v>
      </c>
      <c r="L23" s="61">
        <f>K23*(1+IF('Fiscal Inputs'!$G$23="",0,'Fiscal Inputs'!$G$23))</f>
        <v>0</v>
      </c>
      <c r="M23" s="61">
        <f>L23*(1+IF('Fiscal Inputs'!$G$23="",0,'Fiscal Inputs'!$G$23))</f>
        <v>0</v>
      </c>
      <c r="N23" s="61">
        <f>M23*(1+IF('Fiscal Inputs'!$G$23="",0,'Fiscal Inputs'!$G$23))</f>
        <v>0</v>
      </c>
      <c r="O23" s="61">
        <f>N23*(1+IF('Fiscal Inputs'!$G$23="",0,'Fiscal Inputs'!$G$23))</f>
        <v>0</v>
      </c>
      <c r="P23" s="61">
        <f>O23*(1+IF('Fiscal Inputs'!$G$23="",0,'Fiscal Inputs'!$G$23))</f>
        <v>0</v>
      </c>
      <c r="Q23" s="61">
        <f>P23*(1+IF('Fiscal Inputs'!$G$23="",0,'Fiscal Inputs'!$G$23))</f>
        <v>0</v>
      </c>
      <c r="R23" s="61">
        <f>Q23*(1+IF('Fiscal Inputs'!$G$23="",0,'Fiscal Inputs'!$G$23))</f>
        <v>0</v>
      </c>
      <c r="S23" s="61">
        <f>R23*(1+IF('Fiscal Inputs'!$G$23="",0,'Fiscal Inputs'!$G$23))</f>
        <v>0</v>
      </c>
      <c r="T23" s="61">
        <f>S23*(1+IF('Fiscal Inputs'!$G$23="",0,'Fiscal Inputs'!$G$23))</f>
        <v>0</v>
      </c>
      <c r="U23" s="61">
        <f>T23*(1+IF('Fiscal Inputs'!$G$23="",0,'Fiscal Inputs'!$G$23))</f>
        <v>0</v>
      </c>
      <c r="V23" s="61">
        <f>U23*(1+IF('Fiscal Inputs'!$G$23="",0,'Fiscal Inputs'!$G$23))</f>
        <v>0</v>
      </c>
      <c r="W23" s="61">
        <f>V23*(1+IF('Fiscal Inputs'!$G$23="",0,'Fiscal Inputs'!$G$23))</f>
        <v>0</v>
      </c>
      <c r="X23" s="61">
        <f>W23*(1+IF('Fiscal Inputs'!$G$23="",0,'Fiscal Inputs'!$G$23))</f>
        <v>0</v>
      </c>
    </row>
    <row r="24" ht="15.75" customHeight="1">
      <c r="A24" s="20" t="s">
        <v>369</v>
      </c>
      <c r="B24" s="20" t="s">
        <v>349</v>
      </c>
      <c r="C24" s="20">
        <v>-1.0</v>
      </c>
      <c r="D24" s="61">
        <f>IF('Fiscal Inputs'!$E$24="",0,'Fiscal Inputs'!$E$24*'Fiscal Inputs'!$C$24)</f>
        <v>0</v>
      </c>
      <c r="E24" s="61">
        <f>IF('Fiscal Inputs'!$F$24="",0,'Fiscal Inputs'!$F$24*'Fiscal Inputs'!$C$24)</f>
        <v>0</v>
      </c>
      <c r="F24" s="61">
        <f>E24*(1+IF('Fiscal Inputs'!$G$24="",0,'Fiscal Inputs'!$G$24))</f>
        <v>0</v>
      </c>
      <c r="G24" s="61">
        <f>F24*(1+IF('Fiscal Inputs'!$G$24="",0,'Fiscal Inputs'!$G$24))</f>
        <v>0</v>
      </c>
      <c r="H24" s="61">
        <f>G24*(1+IF('Fiscal Inputs'!$G$24="",0,'Fiscal Inputs'!$G$24))</f>
        <v>0</v>
      </c>
      <c r="I24" s="61">
        <f>H24*(1+IF('Fiscal Inputs'!$G$24="",0,'Fiscal Inputs'!$G$24))</f>
        <v>0</v>
      </c>
      <c r="J24" s="61">
        <f>I24*(1+IF('Fiscal Inputs'!$G$24="",0,'Fiscal Inputs'!$G$24))</f>
        <v>0</v>
      </c>
      <c r="K24" s="61">
        <f>J24*(1+IF('Fiscal Inputs'!$G$24="",0,'Fiscal Inputs'!$G$24))</f>
        <v>0</v>
      </c>
      <c r="L24" s="61">
        <f>K24*(1+IF('Fiscal Inputs'!$G$24="",0,'Fiscal Inputs'!$G$24))</f>
        <v>0</v>
      </c>
      <c r="M24" s="61">
        <f>L24*(1+IF('Fiscal Inputs'!$G$24="",0,'Fiscal Inputs'!$G$24))</f>
        <v>0</v>
      </c>
      <c r="N24" s="61">
        <f>M24*(1+IF('Fiscal Inputs'!$G$24="",0,'Fiscal Inputs'!$G$24))</f>
        <v>0</v>
      </c>
      <c r="O24" s="61">
        <f>N24*(1+IF('Fiscal Inputs'!$G$24="",0,'Fiscal Inputs'!$G$24))</f>
        <v>0</v>
      </c>
      <c r="P24" s="61">
        <f>O24*(1+IF('Fiscal Inputs'!$G$24="",0,'Fiscal Inputs'!$G$24))</f>
        <v>0</v>
      </c>
      <c r="Q24" s="61">
        <f>P24*(1+IF('Fiscal Inputs'!$G$24="",0,'Fiscal Inputs'!$G$24))</f>
        <v>0</v>
      </c>
      <c r="R24" s="61">
        <f>Q24*(1+IF('Fiscal Inputs'!$G$24="",0,'Fiscal Inputs'!$G$24))</f>
        <v>0</v>
      </c>
      <c r="S24" s="61">
        <f>R24*(1+IF('Fiscal Inputs'!$G$24="",0,'Fiscal Inputs'!$G$24))</f>
        <v>0</v>
      </c>
      <c r="T24" s="61">
        <f>S24*(1+IF('Fiscal Inputs'!$G$24="",0,'Fiscal Inputs'!$G$24))</f>
        <v>0</v>
      </c>
      <c r="U24" s="61">
        <f>T24*(1+IF('Fiscal Inputs'!$G$24="",0,'Fiscal Inputs'!$G$24))</f>
        <v>0</v>
      </c>
      <c r="V24" s="61">
        <f>U24*(1+IF('Fiscal Inputs'!$G$24="",0,'Fiscal Inputs'!$G$24))</f>
        <v>0</v>
      </c>
      <c r="W24" s="61">
        <f>V24*(1+IF('Fiscal Inputs'!$G$24="",0,'Fiscal Inputs'!$G$24))</f>
        <v>0</v>
      </c>
      <c r="X24" s="61">
        <f>W24*(1+IF('Fiscal Inputs'!$G$24="",0,'Fiscal Inputs'!$G$24))</f>
        <v>0</v>
      </c>
    </row>
    <row r="25" ht="15.75" customHeight="1">
      <c r="A25" s="20" t="s">
        <v>372</v>
      </c>
      <c r="B25" s="20" t="s">
        <v>349</v>
      </c>
      <c r="C25" s="20">
        <v>1.0</v>
      </c>
      <c r="D25" s="61">
        <f>IF('Fiscal Inputs'!$E$25="",0,'Fiscal Inputs'!$E$25*'Fiscal Inputs'!$C$25)</f>
        <v>0</v>
      </c>
      <c r="E25" s="61">
        <f>IF('Fiscal Inputs'!$F$25="",0,'Fiscal Inputs'!$F$25*'Fiscal Inputs'!$C$25)</f>
        <v>0</v>
      </c>
      <c r="F25" s="61">
        <f>E25*(1+IF('Fiscal Inputs'!$G$25="",0,'Fiscal Inputs'!$G$25))</f>
        <v>0</v>
      </c>
      <c r="G25" s="61">
        <f>F25*(1+IF('Fiscal Inputs'!$G$25="",0,'Fiscal Inputs'!$G$25))</f>
        <v>0</v>
      </c>
      <c r="H25" s="61">
        <f>G25*(1+IF('Fiscal Inputs'!$G$25="",0,'Fiscal Inputs'!$G$25))</f>
        <v>0</v>
      </c>
      <c r="I25" s="61">
        <f>H25*(1+IF('Fiscal Inputs'!$G$25="",0,'Fiscal Inputs'!$G$25))</f>
        <v>0</v>
      </c>
      <c r="J25" s="61">
        <f>I25*(1+IF('Fiscal Inputs'!$G$25="",0,'Fiscal Inputs'!$G$25))</f>
        <v>0</v>
      </c>
      <c r="K25" s="61">
        <f>J25*(1+IF('Fiscal Inputs'!$G$25="",0,'Fiscal Inputs'!$G$25))</f>
        <v>0</v>
      </c>
      <c r="L25" s="61">
        <f>K25*(1+IF('Fiscal Inputs'!$G$25="",0,'Fiscal Inputs'!$G$25))</f>
        <v>0</v>
      </c>
      <c r="M25" s="61">
        <f>L25*(1+IF('Fiscal Inputs'!$G$25="",0,'Fiscal Inputs'!$G$25))</f>
        <v>0</v>
      </c>
      <c r="N25" s="61">
        <f>M25*(1+IF('Fiscal Inputs'!$G$25="",0,'Fiscal Inputs'!$G$25))</f>
        <v>0</v>
      </c>
      <c r="O25" s="61">
        <f>N25*(1+IF('Fiscal Inputs'!$G$25="",0,'Fiscal Inputs'!$G$25))</f>
        <v>0</v>
      </c>
      <c r="P25" s="61">
        <f>O25*(1+IF('Fiscal Inputs'!$G$25="",0,'Fiscal Inputs'!$G$25))</f>
        <v>0</v>
      </c>
      <c r="Q25" s="61">
        <f>P25*(1+IF('Fiscal Inputs'!$G$25="",0,'Fiscal Inputs'!$G$25))</f>
        <v>0</v>
      </c>
      <c r="R25" s="61">
        <f>Q25*(1+IF('Fiscal Inputs'!$G$25="",0,'Fiscal Inputs'!$G$25))</f>
        <v>0</v>
      </c>
      <c r="S25" s="61">
        <f>R25*(1+IF('Fiscal Inputs'!$G$25="",0,'Fiscal Inputs'!$G$25))</f>
        <v>0</v>
      </c>
      <c r="T25" s="61">
        <f>S25*(1+IF('Fiscal Inputs'!$G$25="",0,'Fiscal Inputs'!$G$25))</f>
        <v>0</v>
      </c>
      <c r="U25" s="61">
        <f>T25*(1+IF('Fiscal Inputs'!$G$25="",0,'Fiscal Inputs'!$G$25))</f>
        <v>0</v>
      </c>
      <c r="V25" s="61">
        <f>U25*(1+IF('Fiscal Inputs'!$G$25="",0,'Fiscal Inputs'!$G$25))</f>
        <v>0</v>
      </c>
      <c r="W25" s="61">
        <f>V25*(1+IF('Fiscal Inputs'!$G$25="",0,'Fiscal Inputs'!$G$25))</f>
        <v>0</v>
      </c>
      <c r="X25" s="61">
        <f>W25*(1+IF('Fiscal Inputs'!$G$25="",0,'Fiscal Inputs'!$G$25))</f>
        <v>0</v>
      </c>
    </row>
    <row r="26" ht="15.75" customHeight="1">
      <c r="A26" s="20" t="s">
        <v>374</v>
      </c>
      <c r="B26" s="20" t="s">
        <v>375</v>
      </c>
      <c r="C26" s="20">
        <v>1.0</v>
      </c>
      <c r="D26" s="61">
        <f>IF('Fiscal Inputs'!$E$26="",0,'Fiscal Inputs'!$E$26*'Fiscal Inputs'!$C$26)</f>
        <v>0</v>
      </c>
      <c r="E26" s="61">
        <f>IF('Fiscal Inputs'!$F$26="",0,'Fiscal Inputs'!$F$26*'Fiscal Inputs'!$C$26)</f>
        <v>0</v>
      </c>
      <c r="F26" s="61">
        <f>E26*(1+IF('Fiscal Inputs'!$G$26="",0,'Fiscal Inputs'!$G$26))</f>
        <v>0</v>
      </c>
      <c r="G26" s="61">
        <f>F26*(1+IF('Fiscal Inputs'!$G$26="",0,'Fiscal Inputs'!$G$26))</f>
        <v>0</v>
      </c>
      <c r="H26" s="61">
        <f>G26*(1+IF('Fiscal Inputs'!$G$26="",0,'Fiscal Inputs'!$G$26))</f>
        <v>0</v>
      </c>
      <c r="I26" s="61">
        <f>H26*(1+IF('Fiscal Inputs'!$G$26="",0,'Fiscal Inputs'!$G$26))</f>
        <v>0</v>
      </c>
      <c r="J26" s="61">
        <f>I26*(1+IF('Fiscal Inputs'!$G$26="",0,'Fiscal Inputs'!$G$26))</f>
        <v>0</v>
      </c>
      <c r="K26" s="61">
        <f>J26*(1+IF('Fiscal Inputs'!$G$26="",0,'Fiscal Inputs'!$G$26))</f>
        <v>0</v>
      </c>
      <c r="L26" s="61">
        <f>K26*(1+IF('Fiscal Inputs'!$G$26="",0,'Fiscal Inputs'!$G$26))</f>
        <v>0</v>
      </c>
      <c r="M26" s="61">
        <f>L26*(1+IF('Fiscal Inputs'!$G$26="",0,'Fiscal Inputs'!$G$26))</f>
        <v>0</v>
      </c>
      <c r="N26" s="61">
        <f>M26*(1+IF('Fiscal Inputs'!$G$26="",0,'Fiscal Inputs'!$G$26))</f>
        <v>0</v>
      </c>
      <c r="O26" s="61">
        <f>N26*(1+IF('Fiscal Inputs'!$G$26="",0,'Fiscal Inputs'!$G$26))</f>
        <v>0</v>
      </c>
      <c r="P26" s="61">
        <f>O26*(1+IF('Fiscal Inputs'!$G$26="",0,'Fiscal Inputs'!$G$26))</f>
        <v>0</v>
      </c>
      <c r="Q26" s="61">
        <f>P26*(1+IF('Fiscal Inputs'!$G$26="",0,'Fiscal Inputs'!$G$26))</f>
        <v>0</v>
      </c>
      <c r="R26" s="61">
        <f>Q26*(1+IF('Fiscal Inputs'!$G$26="",0,'Fiscal Inputs'!$G$26))</f>
        <v>0</v>
      </c>
      <c r="S26" s="61">
        <f>R26*(1+IF('Fiscal Inputs'!$G$26="",0,'Fiscal Inputs'!$G$26))</f>
        <v>0</v>
      </c>
      <c r="T26" s="61">
        <f>S26*(1+IF('Fiscal Inputs'!$G$26="",0,'Fiscal Inputs'!$G$26))</f>
        <v>0</v>
      </c>
      <c r="U26" s="61">
        <f>T26*(1+IF('Fiscal Inputs'!$G$26="",0,'Fiscal Inputs'!$G$26))</f>
        <v>0</v>
      </c>
      <c r="V26" s="61">
        <f>U26*(1+IF('Fiscal Inputs'!$G$26="",0,'Fiscal Inputs'!$G$26))</f>
        <v>0</v>
      </c>
      <c r="W26" s="61">
        <f>V26*(1+IF('Fiscal Inputs'!$G$26="",0,'Fiscal Inputs'!$G$26))</f>
        <v>0</v>
      </c>
      <c r="X26" s="61">
        <f>W26*(1+IF('Fiscal Inputs'!$G$26="",0,'Fiscal Inputs'!$G$26))</f>
        <v>0</v>
      </c>
    </row>
    <row r="27" ht="15.75" customHeight="1">
      <c r="A27" s="20" t="s">
        <v>378</v>
      </c>
      <c r="B27" s="20" t="s">
        <v>379</v>
      </c>
      <c r="C27" s="20">
        <v>1.0</v>
      </c>
      <c r="D27" s="61">
        <f>IF('Fiscal Inputs'!$E$27="",0,'Fiscal Inputs'!$E$27*'Fiscal Inputs'!$C$27)</f>
        <v>0</v>
      </c>
      <c r="E27" s="61">
        <f>IF('Fiscal Inputs'!$F$27="",0,'Fiscal Inputs'!$F$27*'Fiscal Inputs'!$C$27)</f>
        <v>0</v>
      </c>
      <c r="F27" s="61">
        <f>E27*(1+IF('Fiscal Inputs'!$G$27="",0,'Fiscal Inputs'!$G$27))</f>
        <v>0</v>
      </c>
      <c r="G27" s="61">
        <f>F27*(1+IF('Fiscal Inputs'!$G$27="",0,'Fiscal Inputs'!$G$27))</f>
        <v>0</v>
      </c>
      <c r="H27" s="61">
        <f>G27*(1+IF('Fiscal Inputs'!$G$27="",0,'Fiscal Inputs'!$G$27))</f>
        <v>0</v>
      </c>
      <c r="I27" s="61">
        <f>H27*(1+IF('Fiscal Inputs'!$G$27="",0,'Fiscal Inputs'!$G$27))</f>
        <v>0</v>
      </c>
      <c r="J27" s="61">
        <f>I27*(1+IF('Fiscal Inputs'!$G$27="",0,'Fiscal Inputs'!$G$27))</f>
        <v>0</v>
      </c>
      <c r="K27" s="61">
        <f>J27*(1+IF('Fiscal Inputs'!$G$27="",0,'Fiscal Inputs'!$G$27))</f>
        <v>0</v>
      </c>
      <c r="L27" s="61">
        <f>K27*(1+IF('Fiscal Inputs'!$G$27="",0,'Fiscal Inputs'!$G$27))</f>
        <v>0</v>
      </c>
      <c r="M27" s="61">
        <f>L27*(1+IF('Fiscal Inputs'!$G$27="",0,'Fiscal Inputs'!$G$27))</f>
        <v>0</v>
      </c>
      <c r="N27" s="61">
        <f>M27*(1+IF('Fiscal Inputs'!$G$27="",0,'Fiscal Inputs'!$G$27))</f>
        <v>0</v>
      </c>
      <c r="O27" s="61">
        <f>N27*(1+IF('Fiscal Inputs'!$G$27="",0,'Fiscal Inputs'!$G$27))</f>
        <v>0</v>
      </c>
      <c r="P27" s="61">
        <f>O27*(1+IF('Fiscal Inputs'!$G$27="",0,'Fiscal Inputs'!$G$27))</f>
        <v>0</v>
      </c>
      <c r="Q27" s="61">
        <f>P27*(1+IF('Fiscal Inputs'!$G$27="",0,'Fiscal Inputs'!$G$27))</f>
        <v>0</v>
      </c>
      <c r="R27" s="61">
        <f>Q27*(1+IF('Fiscal Inputs'!$G$27="",0,'Fiscal Inputs'!$G$27))</f>
        <v>0</v>
      </c>
      <c r="S27" s="61">
        <f>R27*(1+IF('Fiscal Inputs'!$G$27="",0,'Fiscal Inputs'!$G$27))</f>
        <v>0</v>
      </c>
      <c r="T27" s="61">
        <f>S27*(1+IF('Fiscal Inputs'!$G$27="",0,'Fiscal Inputs'!$G$27))</f>
        <v>0</v>
      </c>
      <c r="U27" s="61">
        <f>T27*(1+IF('Fiscal Inputs'!$G$27="",0,'Fiscal Inputs'!$G$27))</f>
        <v>0</v>
      </c>
      <c r="V27" s="61">
        <f>U27*(1+IF('Fiscal Inputs'!$G$27="",0,'Fiscal Inputs'!$G$27))</f>
        <v>0</v>
      </c>
      <c r="W27" s="61">
        <f>V27*(1+IF('Fiscal Inputs'!$G$27="",0,'Fiscal Inputs'!$G$27))</f>
        <v>0</v>
      </c>
      <c r="X27" s="61">
        <f>W27*(1+IF('Fiscal Inputs'!$G$27="",0,'Fiscal Inputs'!$G$27))</f>
        <v>0</v>
      </c>
    </row>
    <row r="28" ht="15.75" customHeight="1">
      <c r="A28" s="18" t="s">
        <v>383</v>
      </c>
      <c r="B28" s="18" t="s">
        <v>379</v>
      </c>
      <c r="C28" s="18">
        <v>1.0</v>
      </c>
      <c r="D28" s="72">
        <f>IF('Fiscal Inputs'!$E$28="",0,'Fiscal Inputs'!$E$28*'Fiscal Inputs'!$C$28)</f>
        <v>0</v>
      </c>
      <c r="E28" s="72">
        <f>IF('Fiscal Inputs'!$F$28="",0,'Fiscal Inputs'!$F$28*'Fiscal Inputs'!$C$28)</f>
        <v>0</v>
      </c>
      <c r="F28" s="72">
        <f>E28*(1+IF('Fiscal Inputs'!$G$28="",0,'Fiscal Inputs'!$G$28))</f>
        <v>0</v>
      </c>
      <c r="G28" s="72">
        <f>F28*(1+IF('Fiscal Inputs'!$G$28="",0,'Fiscal Inputs'!$G$28))</f>
        <v>0</v>
      </c>
      <c r="H28" s="72">
        <f>G28*(1+IF('Fiscal Inputs'!$G$28="",0,'Fiscal Inputs'!$G$28))</f>
        <v>0</v>
      </c>
      <c r="I28" s="72">
        <f>H28*(1+IF('Fiscal Inputs'!$G$28="",0,'Fiscal Inputs'!$G$28))</f>
        <v>0</v>
      </c>
      <c r="J28" s="72">
        <f>I28*(1+IF('Fiscal Inputs'!$G$28="",0,'Fiscal Inputs'!$G$28))</f>
        <v>0</v>
      </c>
      <c r="K28" s="72">
        <f>J28*(1+IF('Fiscal Inputs'!$G$28="",0,'Fiscal Inputs'!$G$28))</f>
        <v>0</v>
      </c>
      <c r="L28" s="72">
        <f>K28*(1+IF('Fiscal Inputs'!$G$28="",0,'Fiscal Inputs'!$G$28))</f>
        <v>0</v>
      </c>
      <c r="M28" s="72">
        <f>L28*(1+IF('Fiscal Inputs'!$G$28="",0,'Fiscal Inputs'!$G$28))</f>
        <v>0</v>
      </c>
      <c r="N28" s="72">
        <f>M28*(1+IF('Fiscal Inputs'!$G$28="",0,'Fiscal Inputs'!$G$28))</f>
        <v>0</v>
      </c>
      <c r="O28" s="72">
        <f>N28*(1+IF('Fiscal Inputs'!$G$28="",0,'Fiscal Inputs'!$G$28))</f>
        <v>0</v>
      </c>
      <c r="P28" s="72">
        <f>O28*(1+IF('Fiscal Inputs'!$G$28="",0,'Fiscal Inputs'!$G$28))</f>
        <v>0</v>
      </c>
      <c r="Q28" s="72">
        <f>P28*(1+IF('Fiscal Inputs'!$G$28="",0,'Fiscal Inputs'!$G$28))</f>
        <v>0</v>
      </c>
      <c r="R28" s="72">
        <f>Q28*(1+IF('Fiscal Inputs'!$G$28="",0,'Fiscal Inputs'!$G$28))</f>
        <v>0</v>
      </c>
      <c r="S28" s="72">
        <f>R28*(1+IF('Fiscal Inputs'!$G$28="",0,'Fiscal Inputs'!$G$28))</f>
        <v>0</v>
      </c>
      <c r="T28" s="72">
        <f>S28*(1+IF('Fiscal Inputs'!$G$28="",0,'Fiscal Inputs'!$G$28))</f>
        <v>0</v>
      </c>
      <c r="U28" s="72">
        <f>T28*(1+IF('Fiscal Inputs'!$G$28="",0,'Fiscal Inputs'!$G$28))</f>
        <v>0</v>
      </c>
      <c r="V28" s="72">
        <f>U28*(1+IF('Fiscal Inputs'!$G$28="",0,'Fiscal Inputs'!$G$28))</f>
        <v>0</v>
      </c>
      <c r="W28" s="72">
        <f>V28*(1+IF('Fiscal Inputs'!$G$28="",0,'Fiscal Inputs'!$G$28))</f>
        <v>0</v>
      </c>
      <c r="X28" s="72">
        <f>W28*(1+IF('Fiscal Inputs'!$G$28="",0,'Fiscal Inputs'!$G$28))</f>
        <v>0</v>
      </c>
    </row>
    <row r="29" ht="15.75" customHeight="1">
      <c r="A29" s="4"/>
      <c r="B29" s="4"/>
      <c r="C29" s="4"/>
      <c r="D29" s="4"/>
      <c r="E29" s="4"/>
      <c r="F29" s="4"/>
      <c r="G29" s="4"/>
      <c r="H29" s="4"/>
      <c r="I29" s="4"/>
      <c r="J29" s="4"/>
      <c r="K29" s="4"/>
      <c r="L29" s="4"/>
      <c r="M29" s="4"/>
      <c r="N29" s="4"/>
      <c r="O29" s="4"/>
      <c r="P29" s="4"/>
      <c r="Q29" s="4"/>
      <c r="R29" s="4"/>
      <c r="S29" s="4"/>
      <c r="T29" s="4"/>
      <c r="U29" s="4"/>
      <c r="V29" s="4"/>
      <c r="W29" s="4"/>
      <c r="X29" s="4"/>
    </row>
    <row r="30" ht="24.0" customHeight="1">
      <c r="A30" s="9" t="s">
        <v>749</v>
      </c>
      <c r="B30" s="10"/>
      <c r="C30" s="10"/>
      <c r="D30" s="10"/>
      <c r="E30" s="10"/>
      <c r="F30" s="10"/>
      <c r="G30" s="10"/>
      <c r="H30" s="10"/>
      <c r="I30" s="10"/>
      <c r="J30" s="10"/>
      <c r="K30" s="10"/>
      <c r="L30" s="10"/>
      <c r="M30" s="10"/>
      <c r="N30" s="10"/>
      <c r="O30" s="10"/>
      <c r="P30" s="10"/>
      <c r="Q30" s="10"/>
      <c r="R30" s="10"/>
      <c r="S30" s="10"/>
      <c r="T30" s="10"/>
      <c r="U30" s="10"/>
      <c r="V30" s="10"/>
      <c r="W30" s="10"/>
      <c r="X30" s="11"/>
    </row>
    <row r="31" ht="15.75" customHeight="1">
      <c r="A31" s="80" t="s">
        <v>750</v>
      </c>
      <c r="B31" s="81" t="s">
        <v>304</v>
      </c>
      <c r="C31" s="81"/>
      <c r="D31" s="82">
        <f t="shared" ref="D31:X31" si="1">SUMIF($B$8:$B$28,$B31,D$8:D$28)</f>
        <v>0</v>
      </c>
      <c r="E31" s="82">
        <f t="shared" si="1"/>
        <v>0</v>
      </c>
      <c r="F31" s="82">
        <f t="shared" si="1"/>
        <v>0</v>
      </c>
      <c r="G31" s="82">
        <f t="shared" si="1"/>
        <v>0</v>
      </c>
      <c r="H31" s="82">
        <f t="shared" si="1"/>
        <v>0</v>
      </c>
      <c r="I31" s="82">
        <f t="shared" si="1"/>
        <v>0</v>
      </c>
      <c r="J31" s="82">
        <f t="shared" si="1"/>
        <v>0</v>
      </c>
      <c r="K31" s="82">
        <f t="shared" si="1"/>
        <v>0</v>
      </c>
      <c r="L31" s="82">
        <f t="shared" si="1"/>
        <v>0</v>
      </c>
      <c r="M31" s="82">
        <f t="shared" si="1"/>
        <v>0</v>
      </c>
      <c r="N31" s="82">
        <f t="shared" si="1"/>
        <v>0</v>
      </c>
      <c r="O31" s="82">
        <f t="shared" si="1"/>
        <v>0</v>
      </c>
      <c r="P31" s="82">
        <f t="shared" si="1"/>
        <v>0</v>
      </c>
      <c r="Q31" s="82">
        <f t="shared" si="1"/>
        <v>0</v>
      </c>
      <c r="R31" s="82">
        <f t="shared" si="1"/>
        <v>0</v>
      </c>
      <c r="S31" s="82">
        <f t="shared" si="1"/>
        <v>0</v>
      </c>
      <c r="T31" s="82">
        <f t="shared" si="1"/>
        <v>0</v>
      </c>
      <c r="U31" s="82">
        <f t="shared" si="1"/>
        <v>0</v>
      </c>
      <c r="V31" s="82">
        <f t="shared" si="1"/>
        <v>0</v>
      </c>
      <c r="W31" s="82">
        <f t="shared" si="1"/>
        <v>0</v>
      </c>
      <c r="X31" s="82">
        <f t="shared" si="1"/>
        <v>0</v>
      </c>
    </row>
    <row r="32" ht="15.75" customHeight="1">
      <c r="A32" s="83" t="s">
        <v>751</v>
      </c>
      <c r="B32" s="84" t="s">
        <v>331</v>
      </c>
      <c r="C32" s="84"/>
      <c r="D32" s="74">
        <f t="shared" ref="D32:X32" si="2">SUMIF($B$8:$B$28,$B32,D$8:D$28)</f>
        <v>0</v>
      </c>
      <c r="E32" s="74">
        <f t="shared" si="2"/>
        <v>0</v>
      </c>
      <c r="F32" s="74">
        <f t="shared" si="2"/>
        <v>0</v>
      </c>
      <c r="G32" s="74">
        <f t="shared" si="2"/>
        <v>0</v>
      </c>
      <c r="H32" s="74">
        <f t="shared" si="2"/>
        <v>0</v>
      </c>
      <c r="I32" s="74">
        <f t="shared" si="2"/>
        <v>0</v>
      </c>
      <c r="J32" s="74">
        <f t="shared" si="2"/>
        <v>0</v>
      </c>
      <c r="K32" s="74">
        <f t="shared" si="2"/>
        <v>0</v>
      </c>
      <c r="L32" s="74">
        <f t="shared" si="2"/>
        <v>0</v>
      </c>
      <c r="M32" s="74">
        <f t="shared" si="2"/>
        <v>0</v>
      </c>
      <c r="N32" s="74">
        <f t="shared" si="2"/>
        <v>0</v>
      </c>
      <c r="O32" s="74">
        <f t="shared" si="2"/>
        <v>0</v>
      </c>
      <c r="P32" s="74">
        <f t="shared" si="2"/>
        <v>0</v>
      </c>
      <c r="Q32" s="74">
        <f t="shared" si="2"/>
        <v>0</v>
      </c>
      <c r="R32" s="74">
        <f t="shared" si="2"/>
        <v>0</v>
      </c>
      <c r="S32" s="74">
        <f t="shared" si="2"/>
        <v>0</v>
      </c>
      <c r="T32" s="74">
        <f t="shared" si="2"/>
        <v>0</v>
      </c>
      <c r="U32" s="74">
        <f t="shared" si="2"/>
        <v>0</v>
      </c>
      <c r="V32" s="74">
        <f t="shared" si="2"/>
        <v>0</v>
      </c>
      <c r="W32" s="74">
        <f t="shared" si="2"/>
        <v>0</v>
      </c>
      <c r="X32" s="74">
        <f t="shared" si="2"/>
        <v>0</v>
      </c>
    </row>
    <row r="33" ht="15.75" customHeight="1">
      <c r="A33" s="83" t="s">
        <v>752</v>
      </c>
      <c r="B33" s="84" t="s">
        <v>349</v>
      </c>
      <c r="C33" s="84"/>
      <c r="D33" s="74">
        <f t="shared" ref="D33:X33" si="3">SUMIF($B$8:$B$28,$B33,D$8:D$28)</f>
        <v>0</v>
      </c>
      <c r="E33" s="74">
        <f t="shared" si="3"/>
        <v>0</v>
      </c>
      <c r="F33" s="74">
        <f t="shared" si="3"/>
        <v>0</v>
      </c>
      <c r="G33" s="74">
        <f t="shared" si="3"/>
        <v>0</v>
      </c>
      <c r="H33" s="74">
        <f t="shared" si="3"/>
        <v>0</v>
      </c>
      <c r="I33" s="74">
        <f t="shared" si="3"/>
        <v>0</v>
      </c>
      <c r="J33" s="74">
        <f t="shared" si="3"/>
        <v>0</v>
      </c>
      <c r="K33" s="74">
        <f t="shared" si="3"/>
        <v>0</v>
      </c>
      <c r="L33" s="74">
        <f t="shared" si="3"/>
        <v>0</v>
      </c>
      <c r="M33" s="74">
        <f t="shared" si="3"/>
        <v>0</v>
      </c>
      <c r="N33" s="74">
        <f t="shared" si="3"/>
        <v>0</v>
      </c>
      <c r="O33" s="74">
        <f t="shared" si="3"/>
        <v>0</v>
      </c>
      <c r="P33" s="74">
        <f t="shared" si="3"/>
        <v>0</v>
      </c>
      <c r="Q33" s="74">
        <f t="shared" si="3"/>
        <v>0</v>
      </c>
      <c r="R33" s="74">
        <f t="shared" si="3"/>
        <v>0</v>
      </c>
      <c r="S33" s="74">
        <f t="shared" si="3"/>
        <v>0</v>
      </c>
      <c r="T33" s="74">
        <f t="shared" si="3"/>
        <v>0</v>
      </c>
      <c r="U33" s="74">
        <f t="shared" si="3"/>
        <v>0</v>
      </c>
      <c r="V33" s="74">
        <f t="shared" si="3"/>
        <v>0</v>
      </c>
      <c r="W33" s="74">
        <f t="shared" si="3"/>
        <v>0</v>
      </c>
      <c r="X33" s="74">
        <f t="shared" si="3"/>
        <v>0</v>
      </c>
    </row>
    <row r="34" ht="15.75" customHeight="1">
      <c r="A34" s="83" t="s">
        <v>753</v>
      </c>
      <c r="B34" s="84" t="s">
        <v>375</v>
      </c>
      <c r="C34" s="84"/>
      <c r="D34" s="74">
        <f t="shared" ref="D34:X34" si="4">SUMIF($B$8:$B$28,$B34,D$8:D$28)</f>
        <v>0</v>
      </c>
      <c r="E34" s="74">
        <f t="shared" si="4"/>
        <v>0</v>
      </c>
      <c r="F34" s="74">
        <f t="shared" si="4"/>
        <v>0</v>
      </c>
      <c r="G34" s="74">
        <f t="shared" si="4"/>
        <v>0</v>
      </c>
      <c r="H34" s="74">
        <f t="shared" si="4"/>
        <v>0</v>
      </c>
      <c r="I34" s="74">
        <f t="shared" si="4"/>
        <v>0</v>
      </c>
      <c r="J34" s="74">
        <f t="shared" si="4"/>
        <v>0</v>
      </c>
      <c r="K34" s="74">
        <f t="shared" si="4"/>
        <v>0</v>
      </c>
      <c r="L34" s="74">
        <f t="shared" si="4"/>
        <v>0</v>
      </c>
      <c r="M34" s="74">
        <f t="shared" si="4"/>
        <v>0</v>
      </c>
      <c r="N34" s="74">
        <f t="shared" si="4"/>
        <v>0</v>
      </c>
      <c r="O34" s="74">
        <f t="shared" si="4"/>
        <v>0</v>
      </c>
      <c r="P34" s="74">
        <f t="shared" si="4"/>
        <v>0</v>
      </c>
      <c r="Q34" s="74">
        <f t="shared" si="4"/>
        <v>0</v>
      </c>
      <c r="R34" s="74">
        <f t="shared" si="4"/>
        <v>0</v>
      </c>
      <c r="S34" s="74">
        <f t="shared" si="4"/>
        <v>0</v>
      </c>
      <c r="T34" s="74">
        <f t="shared" si="4"/>
        <v>0</v>
      </c>
      <c r="U34" s="74">
        <f t="shared" si="4"/>
        <v>0</v>
      </c>
      <c r="V34" s="74">
        <f t="shared" si="4"/>
        <v>0</v>
      </c>
      <c r="W34" s="74">
        <f t="shared" si="4"/>
        <v>0</v>
      </c>
      <c r="X34" s="74">
        <f t="shared" si="4"/>
        <v>0</v>
      </c>
    </row>
    <row r="35" ht="15.75" customHeight="1">
      <c r="A35" s="83" t="s">
        <v>754</v>
      </c>
      <c r="B35" s="84" t="s">
        <v>379</v>
      </c>
      <c r="C35" s="84"/>
      <c r="D35" s="74">
        <f t="shared" ref="D35:X35" si="5">SUMIF($B$8:$B$28,$B35,D$8:D$28)</f>
        <v>0</v>
      </c>
      <c r="E35" s="74">
        <f t="shared" si="5"/>
        <v>0</v>
      </c>
      <c r="F35" s="74">
        <f t="shared" si="5"/>
        <v>0</v>
      </c>
      <c r="G35" s="74">
        <f t="shared" si="5"/>
        <v>0</v>
      </c>
      <c r="H35" s="74">
        <f t="shared" si="5"/>
        <v>0</v>
      </c>
      <c r="I35" s="74">
        <f t="shared" si="5"/>
        <v>0</v>
      </c>
      <c r="J35" s="74">
        <f t="shared" si="5"/>
        <v>0</v>
      </c>
      <c r="K35" s="74">
        <f t="shared" si="5"/>
        <v>0</v>
      </c>
      <c r="L35" s="74">
        <f t="shared" si="5"/>
        <v>0</v>
      </c>
      <c r="M35" s="74">
        <f t="shared" si="5"/>
        <v>0</v>
      </c>
      <c r="N35" s="74">
        <f t="shared" si="5"/>
        <v>0</v>
      </c>
      <c r="O35" s="74">
        <f t="shared" si="5"/>
        <v>0</v>
      </c>
      <c r="P35" s="74">
        <f t="shared" si="5"/>
        <v>0</v>
      </c>
      <c r="Q35" s="74">
        <f t="shared" si="5"/>
        <v>0</v>
      </c>
      <c r="R35" s="74">
        <f t="shared" si="5"/>
        <v>0</v>
      </c>
      <c r="S35" s="74">
        <f t="shared" si="5"/>
        <v>0</v>
      </c>
      <c r="T35" s="74">
        <f t="shared" si="5"/>
        <v>0</v>
      </c>
      <c r="U35" s="74">
        <f t="shared" si="5"/>
        <v>0</v>
      </c>
      <c r="V35" s="74">
        <f t="shared" si="5"/>
        <v>0</v>
      </c>
      <c r="W35" s="74">
        <f t="shared" si="5"/>
        <v>0</v>
      </c>
      <c r="X35" s="74">
        <f t="shared" si="5"/>
        <v>0</v>
      </c>
    </row>
    <row r="36" ht="15.75" customHeight="1">
      <c r="A36" s="85" t="s">
        <v>755</v>
      </c>
      <c r="B36" s="86" t="s">
        <v>756</v>
      </c>
      <c r="C36" s="86"/>
      <c r="D36" s="87">
        <f t="shared" ref="D36:X36" si="6">SUM(D31:D33)</f>
        <v>0</v>
      </c>
      <c r="E36" s="87">
        <f t="shared" si="6"/>
        <v>0</v>
      </c>
      <c r="F36" s="87">
        <f t="shared" si="6"/>
        <v>0</v>
      </c>
      <c r="G36" s="87">
        <f t="shared" si="6"/>
        <v>0</v>
      </c>
      <c r="H36" s="87">
        <f t="shared" si="6"/>
        <v>0</v>
      </c>
      <c r="I36" s="87">
        <f t="shared" si="6"/>
        <v>0</v>
      </c>
      <c r="J36" s="87">
        <f t="shared" si="6"/>
        <v>0</v>
      </c>
      <c r="K36" s="87">
        <f t="shared" si="6"/>
        <v>0</v>
      </c>
      <c r="L36" s="87">
        <f t="shared" si="6"/>
        <v>0</v>
      </c>
      <c r="M36" s="87">
        <f t="shared" si="6"/>
        <v>0</v>
      </c>
      <c r="N36" s="87">
        <f t="shared" si="6"/>
        <v>0</v>
      </c>
      <c r="O36" s="87">
        <f t="shared" si="6"/>
        <v>0</v>
      </c>
      <c r="P36" s="87">
        <f t="shared" si="6"/>
        <v>0</v>
      </c>
      <c r="Q36" s="87">
        <f t="shared" si="6"/>
        <v>0</v>
      </c>
      <c r="R36" s="87">
        <f t="shared" si="6"/>
        <v>0</v>
      </c>
      <c r="S36" s="87">
        <f t="shared" si="6"/>
        <v>0</v>
      </c>
      <c r="T36" s="87">
        <f t="shared" si="6"/>
        <v>0</v>
      </c>
      <c r="U36" s="87">
        <f t="shared" si="6"/>
        <v>0</v>
      </c>
      <c r="V36" s="87">
        <f t="shared" si="6"/>
        <v>0</v>
      </c>
      <c r="W36" s="87">
        <f t="shared" si="6"/>
        <v>0</v>
      </c>
      <c r="X36" s="87">
        <f t="shared" si="6"/>
        <v>0</v>
      </c>
    </row>
    <row r="37" ht="15.75" customHeight="1">
      <c r="A37" s="4" t="s">
        <v>757</v>
      </c>
      <c r="B37" s="4" t="s">
        <v>758</v>
      </c>
      <c r="C37" s="4"/>
      <c r="D37" s="88">
        <f>1/(1+'Fiscal Inputs'!$A$5)^0</f>
        <v>1</v>
      </c>
      <c r="E37" s="88">
        <f>1/(1+'Fiscal Inputs'!$A$5)^1</f>
        <v>0.9523809524</v>
      </c>
      <c r="F37" s="88">
        <f>1/(1+'Fiscal Inputs'!$A$5)^2</f>
        <v>0.9070294785</v>
      </c>
      <c r="G37" s="88">
        <f>1/(1+'Fiscal Inputs'!$A$5)^3</f>
        <v>0.8638375985</v>
      </c>
      <c r="H37" s="88">
        <f>1/(1+'Fiscal Inputs'!$A$5)^4</f>
        <v>0.8227024748</v>
      </c>
      <c r="I37" s="88">
        <f>1/(1+'Fiscal Inputs'!$A$5)^5</f>
        <v>0.7835261665</v>
      </c>
      <c r="J37" s="88">
        <f>1/(1+'Fiscal Inputs'!$A$5)^6</f>
        <v>0.7462153966</v>
      </c>
      <c r="K37" s="88">
        <f>1/(1+'Fiscal Inputs'!$A$5)^7</f>
        <v>0.7106813301</v>
      </c>
      <c r="L37" s="88">
        <f>1/(1+'Fiscal Inputs'!$A$5)^8</f>
        <v>0.676839362</v>
      </c>
      <c r="M37" s="88">
        <f>1/(1+'Fiscal Inputs'!$A$5)^9</f>
        <v>0.6446089162</v>
      </c>
      <c r="N37" s="88">
        <f>1/(1+'Fiscal Inputs'!$A$5)^10</f>
        <v>0.6139132535</v>
      </c>
      <c r="O37" s="88">
        <f>1/(1+'Fiscal Inputs'!$A$5)^11</f>
        <v>0.5846792891</v>
      </c>
      <c r="P37" s="88">
        <f>1/(1+'Fiscal Inputs'!$A$5)^12</f>
        <v>0.5568374182</v>
      </c>
      <c r="Q37" s="88">
        <f>1/(1+'Fiscal Inputs'!$A$5)^13</f>
        <v>0.5303213506</v>
      </c>
      <c r="R37" s="88">
        <f>1/(1+'Fiscal Inputs'!$A$5)^14</f>
        <v>0.505067953</v>
      </c>
      <c r="S37" s="88">
        <f>1/(1+'Fiscal Inputs'!$A$5)^15</f>
        <v>0.4810170981</v>
      </c>
      <c r="T37" s="88">
        <f>1/(1+'Fiscal Inputs'!$A$5)^16</f>
        <v>0.458111522</v>
      </c>
      <c r="U37" s="88">
        <f>1/(1+'Fiscal Inputs'!$A$5)^17</f>
        <v>0.4362966876</v>
      </c>
      <c r="V37" s="88">
        <f>1/(1+'Fiscal Inputs'!$A$5)^18</f>
        <v>0.4155206549</v>
      </c>
      <c r="W37" s="88">
        <f>1/(1+'Fiscal Inputs'!$A$5)^19</f>
        <v>0.395733957</v>
      </c>
      <c r="X37" s="88">
        <f>1/(1+'Fiscal Inputs'!$A$5)^20</f>
        <v>0.3768894829</v>
      </c>
    </row>
    <row r="38" ht="15.75" customHeight="1">
      <c r="A38" s="89" t="s">
        <v>759</v>
      </c>
      <c r="B38" s="4" t="s">
        <v>757</v>
      </c>
      <c r="C38" s="4"/>
      <c r="D38" s="41">
        <f>D31/(1+'Fiscal Inputs'!$A$5)^0</f>
        <v>0</v>
      </c>
      <c r="E38" s="41">
        <f>E31/(1+'Fiscal Inputs'!$A$5)^1</f>
        <v>0</v>
      </c>
      <c r="F38" s="41">
        <f>F31/(1+'Fiscal Inputs'!$A$5)^2</f>
        <v>0</v>
      </c>
      <c r="G38" s="41">
        <f>G31/(1+'Fiscal Inputs'!$A$5)^3</f>
        <v>0</v>
      </c>
      <c r="H38" s="41">
        <f>H31/(1+'Fiscal Inputs'!$A$5)^4</f>
        <v>0</v>
      </c>
      <c r="I38" s="41">
        <f>I31/(1+'Fiscal Inputs'!$A$5)^5</f>
        <v>0</v>
      </c>
      <c r="J38" s="41">
        <f>J31/(1+'Fiscal Inputs'!$A$5)^6</f>
        <v>0</v>
      </c>
      <c r="K38" s="41">
        <f>K31/(1+'Fiscal Inputs'!$A$5)^7</f>
        <v>0</v>
      </c>
      <c r="L38" s="41">
        <f>L31/(1+'Fiscal Inputs'!$A$5)^8</f>
        <v>0</v>
      </c>
      <c r="M38" s="41">
        <f>M31/(1+'Fiscal Inputs'!$A$5)^9</f>
        <v>0</v>
      </c>
      <c r="N38" s="41">
        <f>N31/(1+'Fiscal Inputs'!$A$5)^10</f>
        <v>0</v>
      </c>
      <c r="O38" s="41">
        <f>O31/(1+'Fiscal Inputs'!$A$5)^11</f>
        <v>0</v>
      </c>
      <c r="P38" s="41">
        <f>P31/(1+'Fiscal Inputs'!$A$5)^12</f>
        <v>0</v>
      </c>
      <c r="Q38" s="41">
        <f>Q31/(1+'Fiscal Inputs'!$A$5)^13</f>
        <v>0</v>
      </c>
      <c r="R38" s="41">
        <f>R31/(1+'Fiscal Inputs'!$A$5)^14</f>
        <v>0</v>
      </c>
      <c r="S38" s="41">
        <f>S31/(1+'Fiscal Inputs'!$A$5)^15</f>
        <v>0</v>
      </c>
      <c r="T38" s="41">
        <f>T31/(1+'Fiscal Inputs'!$A$5)^16</f>
        <v>0</v>
      </c>
      <c r="U38" s="41">
        <f>U31/(1+'Fiscal Inputs'!$A$5)^17</f>
        <v>0</v>
      </c>
      <c r="V38" s="41">
        <f>V31/(1+'Fiscal Inputs'!$A$5)^18</f>
        <v>0</v>
      </c>
      <c r="W38" s="41">
        <f>W31/(1+'Fiscal Inputs'!$A$5)^19</f>
        <v>0</v>
      </c>
      <c r="X38" s="41">
        <f>X31/(1+'Fiscal Inputs'!$A$5)^20</f>
        <v>0</v>
      </c>
    </row>
    <row r="39" ht="15.75" customHeight="1">
      <c r="A39" s="89" t="s">
        <v>760</v>
      </c>
      <c r="B39" s="4" t="s">
        <v>757</v>
      </c>
      <c r="C39" s="4"/>
      <c r="D39" s="41">
        <f>D32/(1+'Fiscal Inputs'!$A$5)^0</f>
        <v>0</v>
      </c>
      <c r="E39" s="41">
        <f>E32/(1+'Fiscal Inputs'!$A$5)^1</f>
        <v>0</v>
      </c>
      <c r="F39" s="41">
        <f>F32/(1+'Fiscal Inputs'!$A$5)^2</f>
        <v>0</v>
      </c>
      <c r="G39" s="41">
        <f>G32/(1+'Fiscal Inputs'!$A$5)^3</f>
        <v>0</v>
      </c>
      <c r="H39" s="41">
        <f>H32/(1+'Fiscal Inputs'!$A$5)^4</f>
        <v>0</v>
      </c>
      <c r="I39" s="41">
        <f>I32/(1+'Fiscal Inputs'!$A$5)^5</f>
        <v>0</v>
      </c>
      <c r="J39" s="41">
        <f>J32/(1+'Fiscal Inputs'!$A$5)^6</f>
        <v>0</v>
      </c>
      <c r="K39" s="41">
        <f>K32/(1+'Fiscal Inputs'!$A$5)^7</f>
        <v>0</v>
      </c>
      <c r="L39" s="41">
        <f>L32/(1+'Fiscal Inputs'!$A$5)^8</f>
        <v>0</v>
      </c>
      <c r="M39" s="41">
        <f>M32/(1+'Fiscal Inputs'!$A$5)^9</f>
        <v>0</v>
      </c>
      <c r="N39" s="41">
        <f>N32/(1+'Fiscal Inputs'!$A$5)^10</f>
        <v>0</v>
      </c>
      <c r="O39" s="41">
        <f>O32/(1+'Fiscal Inputs'!$A$5)^11</f>
        <v>0</v>
      </c>
      <c r="P39" s="41">
        <f>P32/(1+'Fiscal Inputs'!$A$5)^12</f>
        <v>0</v>
      </c>
      <c r="Q39" s="41">
        <f>Q32/(1+'Fiscal Inputs'!$A$5)^13</f>
        <v>0</v>
      </c>
      <c r="R39" s="41">
        <f>R32/(1+'Fiscal Inputs'!$A$5)^14</f>
        <v>0</v>
      </c>
      <c r="S39" s="41">
        <f>S32/(1+'Fiscal Inputs'!$A$5)^15</f>
        <v>0</v>
      </c>
      <c r="T39" s="41">
        <f>T32/(1+'Fiscal Inputs'!$A$5)^16</f>
        <v>0</v>
      </c>
      <c r="U39" s="41">
        <f>U32/(1+'Fiscal Inputs'!$A$5)^17</f>
        <v>0</v>
      </c>
      <c r="V39" s="41">
        <f>V32/(1+'Fiscal Inputs'!$A$5)^18</f>
        <v>0</v>
      </c>
      <c r="W39" s="41">
        <f>W32/(1+'Fiscal Inputs'!$A$5)^19</f>
        <v>0</v>
      </c>
      <c r="X39" s="41">
        <f>X32/(1+'Fiscal Inputs'!$A$5)^20</f>
        <v>0</v>
      </c>
    </row>
    <row r="40" ht="15.75" customHeight="1">
      <c r="A40" s="89" t="s">
        <v>761</v>
      </c>
      <c r="B40" s="4" t="s">
        <v>757</v>
      </c>
      <c r="C40" s="4"/>
      <c r="D40" s="41">
        <f>D33/(1+'Fiscal Inputs'!$A$5)^0</f>
        <v>0</v>
      </c>
      <c r="E40" s="41">
        <f>E33/(1+'Fiscal Inputs'!$A$5)^1</f>
        <v>0</v>
      </c>
      <c r="F40" s="41">
        <f>F33/(1+'Fiscal Inputs'!$A$5)^2</f>
        <v>0</v>
      </c>
      <c r="G40" s="41">
        <f>G33/(1+'Fiscal Inputs'!$A$5)^3</f>
        <v>0</v>
      </c>
      <c r="H40" s="41">
        <f>H33/(1+'Fiscal Inputs'!$A$5)^4</f>
        <v>0</v>
      </c>
      <c r="I40" s="41">
        <f>I33/(1+'Fiscal Inputs'!$A$5)^5</f>
        <v>0</v>
      </c>
      <c r="J40" s="41">
        <f>J33/(1+'Fiscal Inputs'!$A$5)^6</f>
        <v>0</v>
      </c>
      <c r="K40" s="41">
        <f>K33/(1+'Fiscal Inputs'!$A$5)^7</f>
        <v>0</v>
      </c>
      <c r="L40" s="41">
        <f>L33/(1+'Fiscal Inputs'!$A$5)^8</f>
        <v>0</v>
      </c>
      <c r="M40" s="41">
        <f>M33/(1+'Fiscal Inputs'!$A$5)^9</f>
        <v>0</v>
      </c>
      <c r="N40" s="41">
        <f>N33/(1+'Fiscal Inputs'!$A$5)^10</f>
        <v>0</v>
      </c>
      <c r="O40" s="41">
        <f>O33/(1+'Fiscal Inputs'!$A$5)^11</f>
        <v>0</v>
      </c>
      <c r="P40" s="41">
        <f>P33/(1+'Fiscal Inputs'!$A$5)^12</f>
        <v>0</v>
      </c>
      <c r="Q40" s="41">
        <f>Q33/(1+'Fiscal Inputs'!$A$5)^13</f>
        <v>0</v>
      </c>
      <c r="R40" s="41">
        <f>R33/(1+'Fiscal Inputs'!$A$5)^14</f>
        <v>0</v>
      </c>
      <c r="S40" s="41">
        <f>S33/(1+'Fiscal Inputs'!$A$5)^15</f>
        <v>0</v>
      </c>
      <c r="T40" s="41">
        <f>T33/(1+'Fiscal Inputs'!$A$5)^16</f>
        <v>0</v>
      </c>
      <c r="U40" s="41">
        <f>U33/(1+'Fiscal Inputs'!$A$5)^17</f>
        <v>0</v>
      </c>
      <c r="V40" s="41">
        <f>V33/(1+'Fiscal Inputs'!$A$5)^18</f>
        <v>0</v>
      </c>
      <c r="W40" s="41">
        <f>W33/(1+'Fiscal Inputs'!$A$5)^19</f>
        <v>0</v>
      </c>
      <c r="X40" s="41">
        <f>X33/(1+'Fiscal Inputs'!$A$5)^20</f>
        <v>0</v>
      </c>
    </row>
    <row r="41" ht="15.75" customHeight="1">
      <c r="A41" s="89" t="s">
        <v>762</v>
      </c>
      <c r="B41" s="4" t="s">
        <v>757</v>
      </c>
      <c r="C41" s="4"/>
      <c r="D41" s="41">
        <f>D36/(1+'Fiscal Inputs'!$A$5)^0</f>
        <v>0</v>
      </c>
      <c r="E41" s="41">
        <f>E36/(1+'Fiscal Inputs'!$A$5)^1</f>
        <v>0</v>
      </c>
      <c r="F41" s="41">
        <f>F36/(1+'Fiscal Inputs'!$A$5)^2</f>
        <v>0</v>
      </c>
      <c r="G41" s="41">
        <f>G36/(1+'Fiscal Inputs'!$A$5)^3</f>
        <v>0</v>
      </c>
      <c r="H41" s="41">
        <f>H36/(1+'Fiscal Inputs'!$A$5)^4</f>
        <v>0</v>
      </c>
      <c r="I41" s="41">
        <f>I36/(1+'Fiscal Inputs'!$A$5)^5</f>
        <v>0</v>
      </c>
      <c r="J41" s="41">
        <f>J36/(1+'Fiscal Inputs'!$A$5)^6</f>
        <v>0</v>
      </c>
      <c r="K41" s="41">
        <f>K36/(1+'Fiscal Inputs'!$A$5)^7</f>
        <v>0</v>
      </c>
      <c r="L41" s="41">
        <f>L36/(1+'Fiscal Inputs'!$A$5)^8</f>
        <v>0</v>
      </c>
      <c r="M41" s="41">
        <f>M36/(1+'Fiscal Inputs'!$A$5)^9</f>
        <v>0</v>
      </c>
      <c r="N41" s="41">
        <f>N36/(1+'Fiscal Inputs'!$A$5)^10</f>
        <v>0</v>
      </c>
      <c r="O41" s="41">
        <f>O36/(1+'Fiscal Inputs'!$A$5)^11</f>
        <v>0</v>
      </c>
      <c r="P41" s="41">
        <f>P36/(1+'Fiscal Inputs'!$A$5)^12</f>
        <v>0</v>
      </c>
      <c r="Q41" s="41">
        <f>Q36/(1+'Fiscal Inputs'!$A$5)^13</f>
        <v>0</v>
      </c>
      <c r="R41" s="41">
        <f>R36/(1+'Fiscal Inputs'!$A$5)^14</f>
        <v>0</v>
      </c>
      <c r="S41" s="41">
        <f>S36/(1+'Fiscal Inputs'!$A$5)^15</f>
        <v>0</v>
      </c>
      <c r="T41" s="41">
        <f>T36/(1+'Fiscal Inputs'!$A$5)^16</f>
        <v>0</v>
      </c>
      <c r="U41" s="41">
        <f>U36/(1+'Fiscal Inputs'!$A$5)^17</f>
        <v>0</v>
      </c>
      <c r="V41" s="41">
        <f>V36/(1+'Fiscal Inputs'!$A$5)^18</f>
        <v>0</v>
      </c>
      <c r="W41" s="41">
        <f>W36/(1+'Fiscal Inputs'!$A$5)^19</f>
        <v>0</v>
      </c>
      <c r="X41" s="41">
        <f>X36/(1+'Fiscal Inputs'!$A$5)^20</f>
        <v>0</v>
      </c>
    </row>
    <row r="42" ht="15.75" customHeight="1">
      <c r="A42" s="89" t="s">
        <v>763</v>
      </c>
      <c r="B42" s="4" t="s">
        <v>757</v>
      </c>
      <c r="C42" s="4"/>
      <c r="D42" s="41">
        <f>D34/(1+'Fiscal Inputs'!$A$5)^0</f>
        <v>0</v>
      </c>
      <c r="E42" s="41">
        <f>E34/(1+'Fiscal Inputs'!$A$5)^1</f>
        <v>0</v>
      </c>
      <c r="F42" s="41">
        <f>F34/(1+'Fiscal Inputs'!$A$5)^2</f>
        <v>0</v>
      </c>
      <c r="G42" s="41">
        <f>G34/(1+'Fiscal Inputs'!$A$5)^3</f>
        <v>0</v>
      </c>
      <c r="H42" s="41">
        <f>H34/(1+'Fiscal Inputs'!$A$5)^4</f>
        <v>0</v>
      </c>
      <c r="I42" s="41">
        <f>I34/(1+'Fiscal Inputs'!$A$5)^5</f>
        <v>0</v>
      </c>
      <c r="J42" s="41">
        <f>J34/(1+'Fiscal Inputs'!$A$5)^6</f>
        <v>0</v>
      </c>
      <c r="K42" s="41">
        <f>K34/(1+'Fiscal Inputs'!$A$5)^7</f>
        <v>0</v>
      </c>
      <c r="L42" s="41">
        <f>L34/(1+'Fiscal Inputs'!$A$5)^8</f>
        <v>0</v>
      </c>
      <c r="M42" s="41">
        <f>M34/(1+'Fiscal Inputs'!$A$5)^9</f>
        <v>0</v>
      </c>
      <c r="N42" s="41">
        <f>N34/(1+'Fiscal Inputs'!$A$5)^10</f>
        <v>0</v>
      </c>
      <c r="O42" s="41">
        <f>O34/(1+'Fiscal Inputs'!$A$5)^11</f>
        <v>0</v>
      </c>
      <c r="P42" s="41">
        <f>P34/(1+'Fiscal Inputs'!$A$5)^12</f>
        <v>0</v>
      </c>
      <c r="Q42" s="41">
        <f>Q34/(1+'Fiscal Inputs'!$A$5)^13</f>
        <v>0</v>
      </c>
      <c r="R42" s="41">
        <f>R34/(1+'Fiscal Inputs'!$A$5)^14</f>
        <v>0</v>
      </c>
      <c r="S42" s="41">
        <f>S34/(1+'Fiscal Inputs'!$A$5)^15</f>
        <v>0</v>
      </c>
      <c r="T42" s="41">
        <f>T34/(1+'Fiscal Inputs'!$A$5)^16</f>
        <v>0</v>
      </c>
      <c r="U42" s="41">
        <f>U34/(1+'Fiscal Inputs'!$A$5)^17</f>
        <v>0</v>
      </c>
      <c r="V42" s="41">
        <f>V34/(1+'Fiscal Inputs'!$A$5)^18</f>
        <v>0</v>
      </c>
      <c r="W42" s="41">
        <f>W34/(1+'Fiscal Inputs'!$A$5)^19</f>
        <v>0</v>
      </c>
      <c r="X42" s="41">
        <f>X34/(1+'Fiscal Inputs'!$A$5)^20</f>
        <v>0</v>
      </c>
    </row>
    <row r="43" ht="15.75" customHeight="1">
      <c r="A43" s="89" t="s">
        <v>764</v>
      </c>
      <c r="B43" s="4" t="s">
        <v>757</v>
      </c>
      <c r="C43" s="4"/>
      <c r="D43" s="41">
        <f>D35/(1+'Fiscal Inputs'!$A$5)^0</f>
        <v>0</v>
      </c>
      <c r="E43" s="41">
        <f>E35/(1+'Fiscal Inputs'!$A$5)^1</f>
        <v>0</v>
      </c>
      <c r="F43" s="41">
        <f>F35/(1+'Fiscal Inputs'!$A$5)^2</f>
        <v>0</v>
      </c>
      <c r="G43" s="41">
        <f>G35/(1+'Fiscal Inputs'!$A$5)^3</f>
        <v>0</v>
      </c>
      <c r="H43" s="41">
        <f>H35/(1+'Fiscal Inputs'!$A$5)^4</f>
        <v>0</v>
      </c>
      <c r="I43" s="41">
        <f>I35/(1+'Fiscal Inputs'!$A$5)^5</f>
        <v>0</v>
      </c>
      <c r="J43" s="41">
        <f>J35/(1+'Fiscal Inputs'!$A$5)^6</f>
        <v>0</v>
      </c>
      <c r="K43" s="41">
        <f>K35/(1+'Fiscal Inputs'!$A$5)^7</f>
        <v>0</v>
      </c>
      <c r="L43" s="41">
        <f>L35/(1+'Fiscal Inputs'!$A$5)^8</f>
        <v>0</v>
      </c>
      <c r="M43" s="41">
        <f>M35/(1+'Fiscal Inputs'!$A$5)^9</f>
        <v>0</v>
      </c>
      <c r="N43" s="41">
        <f>N35/(1+'Fiscal Inputs'!$A$5)^10</f>
        <v>0</v>
      </c>
      <c r="O43" s="41">
        <f>O35/(1+'Fiscal Inputs'!$A$5)^11</f>
        <v>0</v>
      </c>
      <c r="P43" s="41">
        <f>P35/(1+'Fiscal Inputs'!$A$5)^12</f>
        <v>0</v>
      </c>
      <c r="Q43" s="41">
        <f>Q35/(1+'Fiscal Inputs'!$A$5)^13</f>
        <v>0</v>
      </c>
      <c r="R43" s="41">
        <f>R35/(1+'Fiscal Inputs'!$A$5)^14</f>
        <v>0</v>
      </c>
      <c r="S43" s="41">
        <f>S35/(1+'Fiscal Inputs'!$A$5)^15</f>
        <v>0</v>
      </c>
      <c r="T43" s="41">
        <f>T35/(1+'Fiscal Inputs'!$A$5)^16</f>
        <v>0</v>
      </c>
      <c r="U43" s="41">
        <f>U35/(1+'Fiscal Inputs'!$A$5)^17</f>
        <v>0</v>
      </c>
      <c r="V43" s="41">
        <f>V35/(1+'Fiscal Inputs'!$A$5)^18</f>
        <v>0</v>
      </c>
      <c r="W43" s="41">
        <f>W35/(1+'Fiscal Inputs'!$A$5)^19</f>
        <v>0</v>
      </c>
      <c r="X43" s="41">
        <f>X35/(1+'Fiscal Inputs'!$A$5)^20</f>
        <v>0</v>
      </c>
    </row>
    <row r="44" ht="15.75" customHeight="1">
      <c r="A44" s="4"/>
      <c r="B44" s="4"/>
      <c r="C44" s="4"/>
      <c r="D44" s="4"/>
      <c r="E44" s="4"/>
      <c r="F44" s="4"/>
      <c r="G44" s="4"/>
      <c r="H44" s="4"/>
      <c r="I44" s="4"/>
      <c r="J44" s="4"/>
      <c r="K44" s="4"/>
      <c r="L44" s="4"/>
      <c r="M44" s="4"/>
      <c r="N44" s="4"/>
      <c r="O44" s="4"/>
      <c r="P44" s="4"/>
      <c r="Q44" s="4"/>
      <c r="R44" s="4"/>
      <c r="S44" s="4"/>
      <c r="T44" s="4"/>
      <c r="U44" s="4"/>
      <c r="V44" s="4"/>
      <c r="W44" s="4"/>
      <c r="X44" s="4"/>
    </row>
    <row r="45" ht="15.75" customHeight="1">
      <c r="A45" s="12" t="s">
        <v>765</v>
      </c>
      <c r="B45" s="12" t="s">
        <v>766</v>
      </c>
      <c r="C45" s="4"/>
      <c r="D45" s="4"/>
      <c r="E45" s="4"/>
      <c r="F45" s="4"/>
      <c r="G45" s="4"/>
      <c r="H45" s="4"/>
      <c r="I45" s="4"/>
      <c r="J45" s="4"/>
      <c r="K45" s="4"/>
      <c r="L45" s="4"/>
      <c r="M45" s="4"/>
      <c r="N45" s="4"/>
      <c r="O45" s="4"/>
      <c r="P45" s="4"/>
      <c r="Q45" s="4"/>
      <c r="R45" s="4"/>
      <c r="S45" s="4"/>
      <c r="T45" s="4"/>
      <c r="U45" s="4"/>
      <c r="V45" s="4"/>
      <c r="W45" s="4"/>
      <c r="X45" s="4"/>
    </row>
    <row r="46" ht="15.75" customHeight="1">
      <c r="A46" s="7" t="s">
        <v>767</v>
      </c>
      <c r="B46" s="82">
        <f t="shared" ref="B46:B51" si="7">SUM(D38:X38)</f>
        <v>0</v>
      </c>
      <c r="C46" s="4"/>
      <c r="D46" s="4"/>
      <c r="E46" s="4"/>
      <c r="F46" s="4"/>
      <c r="G46" s="4"/>
      <c r="H46" s="4"/>
      <c r="I46" s="4"/>
      <c r="J46" s="4"/>
      <c r="K46" s="4"/>
      <c r="L46" s="4"/>
      <c r="M46" s="4"/>
      <c r="N46" s="4"/>
      <c r="O46" s="4"/>
      <c r="P46" s="4"/>
      <c r="Q46" s="4"/>
      <c r="R46" s="4"/>
      <c r="S46" s="4"/>
      <c r="T46" s="4"/>
      <c r="U46" s="4"/>
      <c r="V46" s="4"/>
      <c r="W46" s="4"/>
      <c r="X46" s="4"/>
    </row>
    <row r="47" ht="15.75" customHeight="1">
      <c r="A47" s="19" t="s">
        <v>768</v>
      </c>
      <c r="B47" s="74">
        <f t="shared" si="7"/>
        <v>0</v>
      </c>
      <c r="C47" s="4"/>
      <c r="D47" s="4"/>
      <c r="E47" s="4"/>
      <c r="F47" s="4"/>
      <c r="G47" s="4"/>
      <c r="H47" s="4"/>
      <c r="I47" s="4"/>
      <c r="J47" s="4"/>
      <c r="K47" s="4"/>
      <c r="L47" s="4"/>
      <c r="M47" s="4"/>
      <c r="N47" s="4"/>
      <c r="O47" s="4"/>
      <c r="P47" s="4"/>
      <c r="Q47" s="4"/>
      <c r="R47" s="4"/>
      <c r="S47" s="4"/>
      <c r="T47" s="4"/>
      <c r="U47" s="4"/>
      <c r="V47" s="4"/>
      <c r="W47" s="4"/>
      <c r="X47" s="4"/>
    </row>
    <row r="48" ht="15.75" customHeight="1">
      <c r="A48" s="19" t="s">
        <v>769</v>
      </c>
      <c r="B48" s="74">
        <f t="shared" si="7"/>
        <v>0</v>
      </c>
      <c r="C48" s="4"/>
      <c r="D48" s="4"/>
      <c r="E48" s="4"/>
      <c r="F48" s="4"/>
      <c r="G48" s="4"/>
      <c r="H48" s="4"/>
      <c r="I48" s="4"/>
      <c r="J48" s="4"/>
      <c r="K48" s="4"/>
      <c r="L48" s="4"/>
      <c r="M48" s="4"/>
      <c r="N48" s="4"/>
      <c r="O48" s="4"/>
      <c r="P48" s="4"/>
      <c r="Q48" s="4"/>
      <c r="R48" s="4"/>
      <c r="S48" s="4"/>
      <c r="T48" s="4"/>
      <c r="U48" s="4"/>
      <c r="V48" s="4"/>
      <c r="W48" s="4"/>
      <c r="X48" s="4"/>
    </row>
    <row r="49" ht="15.75" customHeight="1">
      <c r="A49" s="19" t="s">
        <v>770</v>
      </c>
      <c r="B49" s="74">
        <f t="shared" si="7"/>
        <v>0</v>
      </c>
      <c r="C49" s="4"/>
      <c r="D49" s="4"/>
      <c r="E49" s="4"/>
      <c r="F49" s="4"/>
      <c r="G49" s="4"/>
      <c r="H49" s="4"/>
      <c r="I49" s="4"/>
      <c r="J49" s="4"/>
      <c r="K49" s="4"/>
      <c r="L49" s="4"/>
      <c r="M49" s="4"/>
      <c r="N49" s="4"/>
      <c r="O49" s="4"/>
      <c r="P49" s="4"/>
      <c r="Q49" s="4"/>
      <c r="R49" s="4"/>
      <c r="S49" s="4"/>
      <c r="T49" s="4"/>
      <c r="U49" s="4"/>
      <c r="V49" s="4"/>
      <c r="W49" s="4"/>
      <c r="X49" s="4"/>
    </row>
    <row r="50" ht="15.75" customHeight="1">
      <c r="A50" s="19" t="s">
        <v>771</v>
      </c>
      <c r="B50" s="74">
        <f t="shared" si="7"/>
        <v>0</v>
      </c>
      <c r="C50" s="4"/>
      <c r="D50" s="4"/>
      <c r="E50" s="4"/>
      <c r="F50" s="4"/>
      <c r="G50" s="4"/>
      <c r="H50" s="4"/>
      <c r="I50" s="4"/>
      <c r="J50" s="4"/>
      <c r="K50" s="4"/>
      <c r="L50" s="4"/>
      <c r="M50" s="4"/>
      <c r="N50" s="4"/>
      <c r="O50" s="4"/>
      <c r="P50" s="4"/>
      <c r="Q50" s="4"/>
      <c r="R50" s="4"/>
      <c r="S50" s="4"/>
      <c r="T50" s="4"/>
      <c r="U50" s="4"/>
      <c r="V50" s="4"/>
      <c r="W50" s="4"/>
      <c r="X50" s="4"/>
    </row>
    <row r="51" ht="15.75" customHeight="1">
      <c r="A51" s="19" t="s">
        <v>772</v>
      </c>
      <c r="B51" s="74">
        <f t="shared" si="7"/>
        <v>0</v>
      </c>
      <c r="C51" s="4"/>
      <c r="D51" s="4"/>
      <c r="E51" s="4"/>
      <c r="F51" s="4"/>
      <c r="G51" s="4"/>
      <c r="H51" s="4"/>
      <c r="I51" s="4"/>
      <c r="J51" s="4"/>
      <c r="K51" s="4"/>
      <c r="L51" s="4"/>
      <c r="M51" s="4"/>
      <c r="N51" s="4"/>
      <c r="O51" s="4"/>
      <c r="P51" s="4"/>
      <c r="Q51" s="4"/>
      <c r="R51" s="4"/>
      <c r="S51" s="4"/>
      <c r="T51" s="4"/>
      <c r="U51" s="4"/>
      <c r="V51" s="4"/>
      <c r="W51" s="4"/>
      <c r="X51" s="4"/>
    </row>
    <row r="52" ht="15.75" customHeight="1">
      <c r="A52" s="24" t="s">
        <v>773</v>
      </c>
      <c r="B52" s="87">
        <f>B46+B47+B48-B49</f>
        <v>0</v>
      </c>
      <c r="C52" s="4"/>
      <c r="D52" s="4"/>
      <c r="E52" s="4"/>
      <c r="F52" s="4"/>
      <c r="G52" s="4"/>
      <c r="H52" s="4"/>
      <c r="I52" s="4"/>
      <c r="J52" s="4"/>
      <c r="K52" s="4"/>
      <c r="L52" s="4"/>
      <c r="M52" s="4"/>
      <c r="N52" s="4"/>
      <c r="O52" s="4"/>
      <c r="P52" s="4"/>
      <c r="Q52" s="4"/>
      <c r="R52" s="4"/>
      <c r="S52" s="4"/>
      <c r="T52" s="4"/>
      <c r="U52" s="4"/>
      <c r="V52" s="4"/>
      <c r="W52" s="4"/>
      <c r="X52" s="4"/>
    </row>
    <row r="53" ht="15.75" customHeight="1">
      <c r="A53" s="7" t="s">
        <v>774</v>
      </c>
      <c r="B53" s="82">
        <f>SUMPRODUCT(D8:X8,D37:X37)+SUMPRODUCT(D9:X9,D37:X37)+SUMPRODUCT(D13:X13,D37:X37)+SUMPRODUCT(D15:X15,D37:X37)+SUMPRODUCT(D19:X19,D37:X37)+SUMPRODUCT(D20:X20,D37:X37)+SUMPRODUCT(D25:X25,D37:X37)</f>
        <v>0</v>
      </c>
      <c r="C53" s="4"/>
      <c r="D53" s="4"/>
      <c r="E53" s="4"/>
      <c r="F53" s="4"/>
      <c r="G53" s="4"/>
      <c r="H53" s="4"/>
      <c r="I53" s="4"/>
      <c r="J53" s="4"/>
      <c r="K53" s="4"/>
      <c r="L53" s="4"/>
      <c r="M53" s="4"/>
      <c r="N53" s="4"/>
      <c r="O53" s="4"/>
      <c r="P53" s="4"/>
      <c r="Q53" s="4"/>
      <c r="R53" s="4"/>
      <c r="S53" s="4"/>
      <c r="T53" s="4"/>
      <c r="U53" s="4"/>
      <c r="V53" s="4"/>
      <c r="W53" s="4"/>
      <c r="X53" s="4"/>
    </row>
    <row r="54" ht="15.75" customHeight="1">
      <c r="A54" s="19" t="s">
        <v>775</v>
      </c>
      <c r="B54" s="74">
        <f>SUMPRODUCT(D10:X10,D37:X37)+SUMPRODUCT(D11:X11,D37:X37)+SUMPRODUCT(D12:X12,D37:X37)+SUMPRODUCT(D14:X14,D37:X37)+SUMPRODUCT(D16:X16,D37:X37)+SUMPRODUCT(D17:X17,D37:X37)+SUMPRODUCT(D18:X18,D37:X37)+SUMPRODUCT(D21:X21,D37:X37)+SUMPRODUCT(D22:X22,D37:X37)+SUMPRODUCT(D23:X23,D37:X37)+SUMPRODUCT(D24:X24,D37:X37)</f>
        <v>0</v>
      </c>
      <c r="C54" s="4"/>
      <c r="D54" s="4"/>
      <c r="E54" s="4"/>
      <c r="F54" s="4"/>
      <c r="G54" s="4"/>
      <c r="H54" s="4"/>
      <c r="I54" s="4"/>
      <c r="J54" s="4"/>
      <c r="K54" s="4"/>
      <c r="L54" s="4"/>
      <c r="M54" s="4"/>
      <c r="N54" s="4"/>
      <c r="O54" s="4"/>
      <c r="P54" s="4"/>
      <c r="Q54" s="4"/>
      <c r="R54" s="4"/>
      <c r="S54" s="4"/>
      <c r="T54" s="4"/>
      <c r="U54" s="4"/>
      <c r="V54" s="4"/>
      <c r="W54" s="4"/>
      <c r="X54" s="4"/>
    </row>
    <row r="55" ht="15.75" customHeight="1">
      <c r="A55" s="24" t="s">
        <v>776</v>
      </c>
      <c r="B55" s="87">
        <f>B53+B54-B49</f>
        <v>0</v>
      </c>
      <c r="C55" s="4"/>
      <c r="D55" s="4"/>
      <c r="E55" s="4"/>
      <c r="F55" s="4"/>
      <c r="G55" s="4"/>
      <c r="H55" s="4"/>
      <c r="I55" s="4"/>
      <c r="J55" s="4"/>
      <c r="K55" s="4"/>
      <c r="L55" s="4"/>
      <c r="M55" s="4"/>
      <c r="N55" s="4"/>
      <c r="O55" s="4"/>
      <c r="P55" s="4"/>
      <c r="Q55" s="4"/>
      <c r="R55" s="4"/>
      <c r="S55" s="4"/>
      <c r="T55" s="4"/>
      <c r="U55" s="4"/>
      <c r="V55" s="4"/>
      <c r="W55" s="4"/>
      <c r="X55" s="4"/>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X1"/>
    <mergeCell ref="A2:X2"/>
    <mergeCell ref="A4:X4"/>
    <mergeCell ref="A30:X30"/>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2.0"/>
    <col customWidth="1" min="2" max="2" width="17.0"/>
    <col customWidth="1" min="3" max="3" width="46.0"/>
    <col customWidth="1" min="4" max="4" width="15.0"/>
    <col customWidth="1" min="5" max="5" width="42.0"/>
    <col customWidth="1" min="6" max="7" width="25.0"/>
    <col customWidth="1" min="8" max="8" width="36.0"/>
    <col customWidth="1" min="9" max="26" width="8.63"/>
  </cols>
  <sheetData>
    <row r="1" ht="30.0" customHeight="1">
      <c r="A1" s="1" t="s">
        <v>361</v>
      </c>
    </row>
    <row r="2" ht="27.75" customHeight="1">
      <c r="A2" s="3" t="s">
        <v>364</v>
      </c>
    </row>
    <row r="3">
      <c r="A3" s="4"/>
      <c r="B3" s="4"/>
      <c r="C3" s="4"/>
      <c r="D3" s="4"/>
      <c r="E3" s="4"/>
      <c r="F3" s="4"/>
      <c r="G3" s="4"/>
      <c r="H3" s="4"/>
    </row>
    <row r="4" ht="24.0" customHeight="1">
      <c r="A4" s="9" t="s">
        <v>367</v>
      </c>
      <c r="B4" s="10"/>
      <c r="C4" s="10"/>
      <c r="D4" s="10"/>
      <c r="E4" s="10"/>
      <c r="F4" s="10"/>
      <c r="G4" s="10"/>
      <c r="H4" s="11"/>
    </row>
    <row r="5">
      <c r="A5" s="7" t="s">
        <v>370</v>
      </c>
      <c r="B5" s="52" t="str">
        <f>'Project Intake'!$B$21</f>
        <v/>
      </c>
      <c r="C5" s="15"/>
      <c r="D5" s="15"/>
      <c r="E5" s="15"/>
      <c r="F5" s="15"/>
      <c r="G5" s="15"/>
      <c r="H5" s="15"/>
    </row>
    <row r="6">
      <c r="A6" s="19" t="s">
        <v>376</v>
      </c>
      <c r="B6" s="54" t="str">
        <f>'Project Intake'!$B$23</f>
        <v/>
      </c>
      <c r="C6" s="20"/>
      <c r="D6" s="20"/>
      <c r="E6" s="20"/>
      <c r="F6" s="20"/>
      <c r="G6" s="20"/>
      <c r="H6" s="20"/>
    </row>
    <row r="7">
      <c r="A7" s="19" t="s">
        <v>381</v>
      </c>
      <c r="B7" s="57" t="str">
        <f>IF(OR(B5="",B6=""),"",B5*8760*B6/1000)</f>
        <v/>
      </c>
      <c r="C7" s="20"/>
      <c r="D7" s="20"/>
      <c r="E7" s="20"/>
      <c r="F7" s="20"/>
      <c r="G7" s="20"/>
      <c r="H7" s="20"/>
    </row>
    <row r="8">
      <c r="A8" s="19" t="s">
        <v>385</v>
      </c>
      <c r="B8" s="38"/>
      <c r="C8" s="20"/>
      <c r="D8" s="20"/>
      <c r="E8" s="20"/>
      <c r="F8" s="20"/>
      <c r="G8" s="20"/>
      <c r="H8" s="20"/>
    </row>
    <row r="9">
      <c r="A9" s="19" t="s">
        <v>386</v>
      </c>
      <c r="B9" s="57" t="str">
        <f>IF(OR(B5="",B8=""),"",B5*B8)</f>
        <v/>
      </c>
      <c r="C9" s="20"/>
      <c r="D9" s="20"/>
      <c r="E9" s="20"/>
      <c r="F9" s="20"/>
      <c r="G9" s="20"/>
      <c r="H9" s="20"/>
    </row>
    <row r="10">
      <c r="A10" s="19" t="s">
        <v>387</v>
      </c>
      <c r="B10" s="33"/>
      <c r="C10" s="20"/>
      <c r="D10" s="20"/>
      <c r="E10" s="20"/>
      <c r="F10" s="20"/>
      <c r="G10" s="20"/>
      <c r="H10" s="20"/>
    </row>
    <row r="11">
      <c r="A11" s="19" t="s">
        <v>388</v>
      </c>
      <c r="B11" s="58" t="str">
        <f>IF(OR(B7="",B10=""),"",B7*1000000*B10/3.78541)</f>
        <v/>
      </c>
      <c r="C11" s="20"/>
      <c r="D11" s="20"/>
      <c r="E11" s="20"/>
      <c r="F11" s="20"/>
      <c r="G11" s="20"/>
      <c r="H11" s="20"/>
    </row>
    <row r="12">
      <c r="A12" s="19" t="s">
        <v>389</v>
      </c>
      <c r="B12" s="58" t="str">
        <f>IF(B11="","",B11/365)</f>
        <v/>
      </c>
      <c r="C12" s="20"/>
      <c r="D12" s="20"/>
      <c r="E12" s="20"/>
      <c r="F12" s="20"/>
      <c r="G12" s="20"/>
      <c r="H12" s="20"/>
    </row>
    <row r="13">
      <c r="A13" s="19" t="s">
        <v>219</v>
      </c>
      <c r="B13" s="54" t="str">
        <f>'Project Intake'!$B$33</f>
        <v/>
      </c>
      <c r="C13" s="20"/>
      <c r="D13" s="20"/>
      <c r="E13" s="20"/>
      <c r="F13" s="20"/>
      <c r="G13" s="20"/>
      <c r="H13" s="20"/>
    </row>
    <row r="14">
      <c r="A14" s="19" t="s">
        <v>390</v>
      </c>
      <c r="B14" s="33"/>
      <c r="C14" s="20"/>
      <c r="D14" s="20"/>
      <c r="E14" s="20"/>
      <c r="F14" s="20"/>
      <c r="G14" s="20"/>
      <c r="H14" s="20"/>
    </row>
    <row r="15">
      <c r="A15" s="19" t="s">
        <v>391</v>
      </c>
      <c r="B15" s="58" t="str">
        <f>IF(OR(B7="",B14=""),"",B7*1000000*B14/3.78541)</f>
        <v/>
      </c>
      <c r="C15" s="20"/>
      <c r="D15" s="20"/>
      <c r="E15" s="20"/>
      <c r="F15" s="20"/>
      <c r="G15" s="20"/>
      <c r="H15" s="20"/>
    </row>
    <row r="16">
      <c r="A16" s="24" t="s">
        <v>392</v>
      </c>
      <c r="B16" s="60" t="str">
        <f>'Project Intake'!$B$32</f>
        <v/>
      </c>
      <c r="C16" s="18"/>
      <c r="D16" s="18"/>
      <c r="E16" s="18"/>
      <c r="F16" s="18"/>
      <c r="G16" s="18"/>
      <c r="H16" s="18"/>
    </row>
    <row r="17">
      <c r="A17" s="4"/>
      <c r="B17" s="4"/>
      <c r="C17" s="4"/>
      <c r="D17" s="4"/>
      <c r="E17" s="4"/>
      <c r="F17" s="4"/>
      <c r="G17" s="4"/>
      <c r="H17" s="4"/>
    </row>
    <row r="18" ht="24.0" customHeight="1">
      <c r="A18" s="9" t="s">
        <v>393</v>
      </c>
      <c r="B18" s="10"/>
      <c r="C18" s="10"/>
      <c r="D18" s="10"/>
      <c r="E18" s="10"/>
      <c r="F18" s="10"/>
      <c r="G18" s="10"/>
      <c r="H18" s="11"/>
    </row>
    <row r="19">
      <c r="A19" s="12" t="s">
        <v>394</v>
      </c>
      <c r="B19" s="12" t="s">
        <v>77</v>
      </c>
      <c r="C19" s="12" t="s">
        <v>22</v>
      </c>
      <c r="D19" s="12" t="s">
        <v>234</v>
      </c>
      <c r="E19" s="12" t="s">
        <v>395</v>
      </c>
      <c r="F19" s="12" t="s">
        <v>396</v>
      </c>
      <c r="G19" s="12" t="s">
        <v>397</v>
      </c>
      <c r="H19" s="12" t="s">
        <v>398</v>
      </c>
    </row>
    <row r="20">
      <c r="A20" s="15" t="s">
        <v>399</v>
      </c>
      <c r="B20" s="17" t="s">
        <v>43</v>
      </c>
      <c r="C20" s="15" t="s">
        <v>400</v>
      </c>
      <c r="D20" s="17"/>
      <c r="E20" s="15" t="s">
        <v>401</v>
      </c>
      <c r="F20" s="15" t="s">
        <v>402</v>
      </c>
      <c r="G20" s="17"/>
      <c r="H20" s="17"/>
    </row>
    <row r="21" ht="15.75" customHeight="1">
      <c r="A21" s="20" t="s">
        <v>403</v>
      </c>
      <c r="B21" s="21" t="s">
        <v>43</v>
      </c>
      <c r="C21" s="20" t="s">
        <v>404</v>
      </c>
      <c r="D21" s="21"/>
      <c r="E21" s="20" t="s">
        <v>405</v>
      </c>
      <c r="F21" s="20" t="s">
        <v>402</v>
      </c>
      <c r="G21" s="21"/>
      <c r="H21" s="21"/>
    </row>
    <row r="22" ht="15.75" customHeight="1">
      <c r="A22" s="20" t="s">
        <v>406</v>
      </c>
      <c r="B22" s="21" t="s">
        <v>43</v>
      </c>
      <c r="C22" s="20" t="s">
        <v>407</v>
      </c>
      <c r="D22" s="21"/>
      <c r="E22" s="20" t="s">
        <v>408</v>
      </c>
      <c r="F22" s="20" t="s">
        <v>409</v>
      </c>
      <c r="G22" s="21"/>
      <c r="H22" s="21"/>
    </row>
    <row r="23" ht="15.75" customHeight="1">
      <c r="A23" s="20" t="s">
        <v>410</v>
      </c>
      <c r="B23" s="21" t="s">
        <v>43</v>
      </c>
      <c r="C23" s="20" t="s">
        <v>411</v>
      </c>
      <c r="D23" s="21"/>
      <c r="E23" s="20" t="s">
        <v>412</v>
      </c>
      <c r="F23" s="20" t="s">
        <v>413</v>
      </c>
      <c r="G23" s="21"/>
      <c r="H23" s="21"/>
    </row>
    <row r="24" ht="15.75" customHeight="1">
      <c r="A24" s="20" t="s">
        <v>414</v>
      </c>
      <c r="B24" s="21" t="s">
        <v>43</v>
      </c>
      <c r="C24" s="20" t="s">
        <v>415</v>
      </c>
      <c r="D24" s="21"/>
      <c r="E24" s="20" t="s">
        <v>416</v>
      </c>
      <c r="F24" s="20" t="s">
        <v>417</v>
      </c>
      <c r="G24" s="21"/>
      <c r="H24" s="21"/>
    </row>
    <row r="25" ht="15.75" customHeight="1">
      <c r="A25" s="18" t="s">
        <v>418</v>
      </c>
      <c r="B25" s="26" t="s">
        <v>43</v>
      </c>
      <c r="C25" s="18" t="s">
        <v>419</v>
      </c>
      <c r="D25" s="26"/>
      <c r="E25" s="18" t="s">
        <v>420</v>
      </c>
      <c r="F25" s="18" t="s">
        <v>421</v>
      </c>
      <c r="G25" s="26"/>
      <c r="H25" s="26"/>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H1"/>
    <mergeCell ref="A2:H2"/>
    <mergeCell ref="A4:H4"/>
    <mergeCell ref="A18:H18"/>
  </mergeCells>
  <conditionalFormatting sqref="B20:B25">
    <cfRule type="containsText" dxfId="0" priority="1" operator="containsText" text="Conditional">
      <formula>NOT(ISERROR(SEARCH(("Conditional"),(B20))))</formula>
    </cfRule>
  </conditionalFormatting>
  <conditionalFormatting sqref="B20:B25">
    <cfRule type="containsText" dxfId="1" priority="2" operator="containsText" text="Unknown">
      <formula>NOT(ISERROR(SEARCH(("Unknown"),(B20))))</formula>
    </cfRule>
  </conditionalFormatting>
  <conditionalFormatting sqref="B20:B25">
    <cfRule type="containsText" dxfId="2" priority="3" operator="containsText" text="Pass">
      <formula>NOT(ISERROR(SEARCH(("Pass"),(B20))))</formula>
    </cfRule>
  </conditionalFormatting>
  <conditionalFormatting sqref="B20:B25">
    <cfRule type="containsText" dxfId="3" priority="4" operator="containsText" text="Fail">
      <formula>NOT(ISERROR(SEARCH(("Fail"),(B20))))</formula>
    </cfRule>
  </conditionalFormatting>
  <dataValidations>
    <dataValidation type="list" allowBlank="1" sqref="B20:B25">
      <formula1>"Pass,Conditional,Fail,Unknown"</formula1>
    </dataValidation>
  </dataValidation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8.0"/>
    <col customWidth="1" min="2" max="2" width="20.0"/>
    <col customWidth="1" min="3" max="3" width="19.0"/>
    <col customWidth="1" min="4" max="4" width="22.0"/>
    <col customWidth="1" min="5" max="5" width="23.0"/>
    <col customWidth="1" min="6" max="6" width="22.0"/>
    <col customWidth="1" min="7" max="7" width="21.0"/>
    <col customWidth="1" min="8" max="10" width="17.0"/>
    <col customWidth="1" min="11" max="26" width="8.63"/>
  </cols>
  <sheetData>
    <row r="1" ht="30.0" customHeight="1">
      <c r="A1" s="1" t="s">
        <v>422</v>
      </c>
    </row>
    <row r="2" ht="27.75" customHeight="1">
      <c r="A2" s="3" t="s">
        <v>423</v>
      </c>
    </row>
    <row r="3">
      <c r="A3" s="4"/>
      <c r="B3" s="4"/>
      <c r="C3" s="4"/>
      <c r="D3" s="4"/>
      <c r="E3" s="4"/>
      <c r="F3" s="4"/>
      <c r="G3" s="4"/>
      <c r="H3" s="4"/>
      <c r="I3" s="4"/>
      <c r="J3" s="4"/>
    </row>
    <row r="4">
      <c r="A4" s="51" t="s">
        <v>424</v>
      </c>
      <c r="B4" s="46">
        <v>0.85</v>
      </c>
      <c r="C4" s="4"/>
      <c r="D4" s="12" t="s">
        <v>425</v>
      </c>
      <c r="E4" s="46">
        <v>0.9</v>
      </c>
      <c r="F4" s="4"/>
      <c r="G4" s="27" t="s">
        <v>426</v>
      </c>
      <c r="H4" s="28"/>
      <c r="I4" s="28"/>
      <c r="J4" s="29"/>
    </row>
    <row r="5">
      <c r="A5" s="62" t="s">
        <v>427</v>
      </c>
      <c r="B5" s="63">
        <v>0.36</v>
      </c>
      <c r="C5" s="4"/>
      <c r="D5" s="4"/>
      <c r="E5" s="4"/>
      <c r="F5" s="4"/>
      <c r="G5" s="31"/>
      <c r="J5" s="32"/>
    </row>
    <row r="6">
      <c r="A6" s="62" t="s">
        <v>428</v>
      </c>
      <c r="B6" s="46">
        <v>0.85</v>
      </c>
      <c r="C6" s="4"/>
      <c r="D6" s="4"/>
      <c r="E6" s="4"/>
      <c r="F6" s="4"/>
      <c r="G6" s="31"/>
      <c r="J6" s="32"/>
    </row>
    <row r="7">
      <c r="A7" s="62" t="s">
        <v>429</v>
      </c>
      <c r="B7" s="46">
        <v>0.5</v>
      </c>
      <c r="C7" s="4"/>
      <c r="D7" s="4"/>
      <c r="E7" s="4"/>
      <c r="F7" s="4"/>
      <c r="G7" s="31"/>
      <c r="J7" s="32"/>
    </row>
    <row r="8">
      <c r="A8" s="62" t="s">
        <v>432</v>
      </c>
      <c r="B8" s="46">
        <v>0.65</v>
      </c>
      <c r="C8" s="4"/>
      <c r="D8" s="4"/>
      <c r="E8" s="4"/>
      <c r="F8" s="4"/>
      <c r="G8" s="31"/>
      <c r="J8" s="32"/>
    </row>
    <row r="9">
      <c r="A9" s="53" t="s">
        <v>433</v>
      </c>
      <c r="B9" s="46">
        <v>0.8</v>
      </c>
      <c r="C9" s="4"/>
      <c r="D9" s="4"/>
      <c r="E9" s="4"/>
      <c r="F9" s="4"/>
      <c r="G9" s="34"/>
      <c r="H9" s="35"/>
      <c r="I9" s="35"/>
      <c r="J9" s="36"/>
    </row>
    <row r="10">
      <c r="A10" s="4"/>
      <c r="B10" s="4"/>
      <c r="C10" s="4"/>
      <c r="D10" s="4"/>
      <c r="E10" s="4"/>
      <c r="F10" s="4"/>
      <c r="G10" s="4"/>
      <c r="H10" s="4"/>
      <c r="I10" s="4"/>
      <c r="J10" s="4"/>
    </row>
    <row r="11">
      <c r="A11" s="4"/>
      <c r="B11" s="4"/>
      <c r="C11" s="4"/>
      <c r="D11" s="4"/>
      <c r="E11" s="4"/>
      <c r="F11" s="4"/>
      <c r="G11" s="4"/>
      <c r="H11" s="4"/>
      <c r="I11" s="4"/>
      <c r="J11" s="4"/>
    </row>
    <row r="12">
      <c r="A12" s="12" t="s">
        <v>438</v>
      </c>
      <c r="B12" s="12" t="s">
        <v>439</v>
      </c>
      <c r="C12" s="12" t="s">
        <v>440</v>
      </c>
      <c r="D12" s="12" t="s">
        <v>441</v>
      </c>
      <c r="E12" s="12" t="s">
        <v>386</v>
      </c>
      <c r="F12" s="12" t="s">
        <v>442</v>
      </c>
      <c r="G12" s="12" t="s">
        <v>443</v>
      </c>
      <c r="H12" s="12" t="s">
        <v>444</v>
      </c>
      <c r="I12" s="12" t="s">
        <v>445</v>
      </c>
      <c r="J12" s="12" t="s">
        <v>446</v>
      </c>
    </row>
    <row r="13">
      <c r="A13" s="7" t="s">
        <v>447</v>
      </c>
      <c r="B13" s="65">
        <v>100.0</v>
      </c>
      <c r="C13" s="65">
        <f t="shared" ref="C13:C15" si="1">B13*$B$4</f>
        <v>85</v>
      </c>
      <c r="D13" s="65">
        <f t="shared" ref="D13:D15" si="2">B13*8760*$B$4/1000</f>
        <v>744.6</v>
      </c>
      <c r="E13" s="65">
        <f t="shared" ref="E13:E15" si="3">B13*$B$6</f>
        <v>85</v>
      </c>
      <c r="F13" s="66">
        <f t="shared" ref="F13:F15" si="4">D13*1000000*$B$5/3.78541</f>
        <v>70812937.04</v>
      </c>
      <c r="G13" s="66">
        <f t="shared" ref="G13:G15" si="5">F13/365</f>
        <v>194008.0467</v>
      </c>
      <c r="H13" s="65">
        <f t="shared" ref="H13:H15" si="6">B13*$B$7</f>
        <v>50</v>
      </c>
      <c r="I13" s="65">
        <f t="shared" ref="I13:I15" si="7">B13*$B$8</f>
        <v>65</v>
      </c>
      <c r="J13" s="65">
        <f t="shared" ref="J13:J15" si="8">B13*$E$4</f>
        <v>90</v>
      </c>
    </row>
    <row r="14">
      <c r="A14" s="19" t="s">
        <v>462</v>
      </c>
      <c r="B14" s="57">
        <v>250.0</v>
      </c>
      <c r="C14" s="57">
        <f t="shared" si="1"/>
        <v>212.5</v>
      </c>
      <c r="D14" s="57">
        <f t="shared" si="2"/>
        <v>1861.5</v>
      </c>
      <c r="E14" s="57">
        <f t="shared" si="3"/>
        <v>212.5</v>
      </c>
      <c r="F14" s="58">
        <f t="shared" si="4"/>
        <v>177032342.6</v>
      </c>
      <c r="G14" s="58">
        <f t="shared" si="5"/>
        <v>485020.1167</v>
      </c>
      <c r="H14" s="57">
        <f t="shared" si="6"/>
        <v>125</v>
      </c>
      <c r="I14" s="57">
        <f t="shared" si="7"/>
        <v>162.5</v>
      </c>
      <c r="J14" s="57">
        <f t="shared" si="8"/>
        <v>225</v>
      </c>
    </row>
    <row r="15">
      <c r="A15" s="24" t="s">
        <v>471</v>
      </c>
      <c r="B15" s="67">
        <v>1000.0</v>
      </c>
      <c r="C15" s="67">
        <f t="shared" si="1"/>
        <v>850</v>
      </c>
      <c r="D15" s="67">
        <f t="shared" si="2"/>
        <v>7446</v>
      </c>
      <c r="E15" s="67">
        <f t="shared" si="3"/>
        <v>850</v>
      </c>
      <c r="F15" s="68">
        <f t="shared" si="4"/>
        <v>708129370.4</v>
      </c>
      <c r="G15" s="68">
        <f t="shared" si="5"/>
        <v>1940080.467</v>
      </c>
      <c r="H15" s="67">
        <f t="shared" si="6"/>
        <v>500</v>
      </c>
      <c r="I15" s="67">
        <f t="shared" si="7"/>
        <v>650</v>
      </c>
      <c r="J15" s="67">
        <f t="shared" si="8"/>
        <v>900</v>
      </c>
    </row>
    <row r="16">
      <c r="A16" s="4"/>
      <c r="B16" s="4"/>
      <c r="C16" s="4"/>
      <c r="D16" s="4"/>
      <c r="E16" s="4"/>
      <c r="F16" s="4"/>
      <c r="G16" s="4"/>
      <c r="H16" s="4"/>
      <c r="I16" s="4"/>
      <c r="J16" s="4"/>
    </row>
    <row r="17">
      <c r="A17" s="4"/>
      <c r="B17" s="4"/>
      <c r="C17" s="4"/>
      <c r="D17" s="4"/>
      <c r="E17" s="4"/>
      <c r="F17" s="4"/>
      <c r="G17" s="4"/>
      <c r="H17" s="4"/>
      <c r="I17" s="4"/>
      <c r="J17" s="4"/>
    </row>
    <row r="18" ht="24.0" customHeight="1">
      <c r="A18" s="9" t="s">
        <v>484</v>
      </c>
      <c r="B18" s="10"/>
      <c r="C18" s="10"/>
      <c r="D18" s="10"/>
      <c r="E18" s="10"/>
      <c r="F18" s="10"/>
      <c r="G18" s="10"/>
      <c r="H18" s="10"/>
      <c r="I18" s="10"/>
      <c r="J18" s="11"/>
    </row>
    <row r="19">
      <c r="A19" s="70" t="s">
        <v>489</v>
      </c>
      <c r="B19" s="28"/>
      <c r="C19" s="28"/>
      <c r="D19" s="28"/>
      <c r="E19" s="28"/>
      <c r="F19" s="28"/>
      <c r="G19" s="28"/>
      <c r="H19" s="28"/>
      <c r="I19" s="28"/>
      <c r="J19" s="29"/>
    </row>
    <row r="20">
      <c r="A20" s="31"/>
      <c r="J20" s="32"/>
    </row>
    <row r="21" ht="15.75" customHeight="1">
      <c r="A21" s="31"/>
      <c r="J21" s="32"/>
    </row>
    <row r="22" ht="15.75" customHeight="1">
      <c r="A22" s="31"/>
      <c r="J22" s="32"/>
    </row>
    <row r="23" ht="15.75" customHeight="1">
      <c r="A23" s="34"/>
      <c r="B23" s="35"/>
      <c r="C23" s="35"/>
      <c r="D23" s="35"/>
      <c r="E23" s="35"/>
      <c r="F23" s="35"/>
      <c r="G23" s="35"/>
      <c r="H23" s="35"/>
      <c r="I23" s="35"/>
      <c r="J23" s="36"/>
    </row>
    <row r="24" ht="15.75" customHeight="1">
      <c r="A24" s="4"/>
      <c r="B24" s="4"/>
      <c r="C24" s="4"/>
      <c r="D24" s="4"/>
      <c r="E24" s="4"/>
      <c r="F24" s="4"/>
      <c r="G24" s="4"/>
      <c r="H24" s="4"/>
      <c r="I24" s="4"/>
      <c r="J24" s="4"/>
    </row>
    <row r="25" ht="24.0" customHeight="1">
      <c r="A25" s="9" t="s">
        <v>499</v>
      </c>
      <c r="B25" s="10"/>
      <c r="C25" s="10"/>
      <c r="D25" s="10"/>
      <c r="E25" s="10"/>
      <c r="F25" s="10"/>
      <c r="G25" s="10"/>
      <c r="H25" s="10"/>
      <c r="I25" s="10"/>
      <c r="J25" s="11"/>
    </row>
    <row r="26" ht="15.75" customHeight="1">
      <c r="A26" s="12" t="s">
        <v>438</v>
      </c>
      <c r="B26" s="12" t="s">
        <v>507</v>
      </c>
      <c r="C26" s="12" t="s">
        <v>509</v>
      </c>
      <c r="D26" s="12" t="s">
        <v>512</v>
      </c>
      <c r="E26" s="12" t="s">
        <v>514</v>
      </c>
      <c r="F26" s="4"/>
      <c r="G26" s="27" t="s">
        <v>519</v>
      </c>
      <c r="H26" s="28"/>
      <c r="I26" s="28"/>
      <c r="J26" s="29"/>
    </row>
    <row r="27" ht="15.75" customHeight="1">
      <c r="A27" s="15" t="s">
        <v>523</v>
      </c>
      <c r="B27" s="48">
        <v>1.0</v>
      </c>
      <c r="C27" s="48">
        <v>1.0</v>
      </c>
      <c r="D27" s="59">
        <f>'20Y Model'!$B$53*B27+'20Y Model'!$B$54*C27</f>
        <v>0</v>
      </c>
      <c r="E27" s="15" t="str">
        <f>IF(COUNTBLANK('Fiscal Inputs'!E8:G26)&gt;0,"INCOMPLETE",IF(D27&gt;=0,"NON-NEGATIVE","NEGATIVE"))</f>
        <v>INCOMPLETE</v>
      </c>
      <c r="F27" s="4"/>
      <c r="G27" s="31"/>
      <c r="J27" s="32"/>
    </row>
    <row r="28" ht="15.75" customHeight="1">
      <c r="A28" s="20" t="s">
        <v>533</v>
      </c>
      <c r="B28" s="38">
        <v>0.75</v>
      </c>
      <c r="C28" s="38">
        <v>1.0</v>
      </c>
      <c r="D28" s="61">
        <f>'20Y Model'!$B$53*B28+'20Y Model'!$B$54*C28</f>
        <v>0</v>
      </c>
      <c r="E28" s="20" t="str">
        <f>IF(COUNTBLANK('Fiscal Inputs'!E8:G26)&gt;0,"INCOMPLETE",IF(D28&gt;=0,"NON-NEGATIVE","NEGATIVE"))</f>
        <v>INCOMPLETE</v>
      </c>
      <c r="F28" s="4"/>
      <c r="G28" s="31"/>
      <c r="J28" s="32"/>
    </row>
    <row r="29" ht="15.75" customHeight="1">
      <c r="A29" s="20" t="s">
        <v>543</v>
      </c>
      <c r="B29" s="38">
        <v>1.0</v>
      </c>
      <c r="C29" s="38">
        <v>1.25</v>
      </c>
      <c r="D29" s="61">
        <f>'20Y Model'!$B$53*B29+'20Y Model'!$B$54*C29</f>
        <v>0</v>
      </c>
      <c r="E29" s="20" t="str">
        <f>IF(COUNTBLANK('Fiscal Inputs'!E8:G26)&gt;0,"INCOMPLETE",IF(D29&gt;=0,"NON-NEGATIVE","NEGATIVE"))</f>
        <v>INCOMPLETE</v>
      </c>
      <c r="F29" s="4"/>
      <c r="G29" s="31"/>
      <c r="J29" s="32"/>
    </row>
    <row r="30" ht="15.75" customHeight="1">
      <c r="A30" s="20" t="s">
        <v>557</v>
      </c>
      <c r="B30" s="38">
        <v>0.75</v>
      </c>
      <c r="C30" s="38">
        <v>1.25</v>
      </c>
      <c r="D30" s="61">
        <f>'20Y Model'!$B$53*B30+'20Y Model'!$B$54*C30</f>
        <v>0</v>
      </c>
      <c r="E30" s="20" t="str">
        <f>IF(COUNTBLANK('Fiscal Inputs'!E8:G26)&gt;0,"INCOMPLETE",IF(D30&gt;=0,"NON-NEGATIVE","NEGATIVE"))</f>
        <v>INCOMPLETE</v>
      </c>
      <c r="F30" s="4"/>
      <c r="G30" s="31"/>
      <c r="J30" s="32"/>
    </row>
    <row r="31" ht="15.75" customHeight="1">
      <c r="A31" s="18" t="s">
        <v>565</v>
      </c>
      <c r="B31" s="56">
        <v>0.5</v>
      </c>
      <c r="C31" s="56">
        <v>1.5</v>
      </c>
      <c r="D31" s="72">
        <f>'20Y Model'!$B$53*B31+'20Y Model'!$B$54*C31</f>
        <v>0</v>
      </c>
      <c r="E31" s="18" t="str">
        <f>IF(COUNTBLANK('Fiscal Inputs'!E8:G26)&gt;0,"INCOMPLETE",IF(D31&gt;=0,"NON-NEGATIVE","NEGATIVE"))</f>
        <v>INCOMPLETE</v>
      </c>
      <c r="F31" s="4"/>
      <c r="G31" s="34"/>
      <c r="H31" s="35"/>
      <c r="I31" s="35"/>
      <c r="J31" s="36"/>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J1"/>
    <mergeCell ref="A2:J2"/>
    <mergeCell ref="G4:J9"/>
    <mergeCell ref="A18:J18"/>
    <mergeCell ref="A19:J23"/>
    <mergeCell ref="A25:J25"/>
    <mergeCell ref="G26:J31"/>
  </mergeCells>
  <conditionalFormatting sqref="E27:E31">
    <cfRule type="containsText" dxfId="2" priority="1" operator="containsText" text="NON-NEGATIVE">
      <formula>NOT(ISERROR(SEARCH(("NON-NEGATIVE"),(E27))))</formula>
    </cfRule>
  </conditionalFormatting>
  <conditionalFormatting sqref="E27:E31">
    <cfRule type="containsText" dxfId="0" priority="2" operator="containsText" text="INCOMPLETE">
      <formula>NOT(ISERROR(SEARCH(("INCOMPLETE"),(E27))))</formula>
    </cfRule>
  </conditionalFormatting>
  <conditionalFormatting sqref="E27:E31">
    <cfRule type="containsText" dxfId="3" priority="3" operator="containsText" text="NEGATIVE">
      <formula>NOT(ISERROR(SEARCH(("NEGATIVE"),(E27))))</formula>
    </cfRule>
  </conditionalFormatting>
  <printOptions/>
  <pageMargins bottom="0.75" footer="0.0" header="0.0" left="0.7" right="0.7" top="0.75"/>
  <pageSetup orientation="landscape"/>
  <drawing r:id="rId4"/>
  <legacyDrawing r:id="rId5"/>
</worksheet>
</file>